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240" windowWidth="23940" windowHeight="10200"/>
  </bookViews>
  <sheets>
    <sheet name="SK+1" sheetId="15" r:id="rId1"/>
    <sheet name="CCI" sheetId="14" r:id="rId2"/>
    <sheet name="Gemtech" sheetId="17" r:id="rId3"/>
    <sheet name="SK+2" sheetId="16" r:id="rId4"/>
    <sheet name="Aguila" sheetId="9" r:id="rId5"/>
    <sheet name="SK+Combined" sheetId="6" r:id="rId6"/>
  </sheets>
  <calcPr calcId="145621"/>
  <pivotCaches>
    <pivotCache cacheId="9" r:id="rId7"/>
  </pivotCaches>
</workbook>
</file>

<file path=xl/calcChain.xml><?xml version="1.0" encoding="utf-8"?>
<calcChain xmlns="http://schemas.openxmlformats.org/spreadsheetml/2006/main">
  <c r="E33" i="6" l="1"/>
  <c r="F33" i="6"/>
  <c r="E34" i="6"/>
  <c r="F34" i="6"/>
  <c r="E35" i="6"/>
  <c r="F35" i="6"/>
  <c r="E36" i="6"/>
  <c r="F36" i="6"/>
  <c r="E37" i="6"/>
  <c r="F37" i="6"/>
  <c r="F28" i="17"/>
  <c r="G28" i="17"/>
  <c r="I29" i="17" s="1"/>
  <c r="F29" i="17"/>
  <c r="G29" i="17"/>
  <c r="I30" i="17" s="1"/>
  <c r="F30" i="17"/>
  <c r="G30" i="17"/>
  <c r="F31" i="17"/>
  <c r="G31" i="17"/>
  <c r="I31" i="17"/>
  <c r="F32" i="17"/>
  <c r="G32" i="17"/>
  <c r="G27" i="17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F17" i="17"/>
  <c r="G16" i="17"/>
  <c r="F16" i="17"/>
  <c r="G15" i="17"/>
  <c r="F15" i="17"/>
  <c r="G14" i="17"/>
  <c r="F14" i="17"/>
  <c r="G13" i="17"/>
  <c r="F13" i="17"/>
  <c r="G12" i="17"/>
  <c r="F12" i="17"/>
  <c r="H32" i="17" s="1"/>
  <c r="G11" i="17"/>
  <c r="F11" i="17"/>
  <c r="G10" i="17"/>
  <c r="F10" i="17"/>
  <c r="G9" i="17"/>
  <c r="F9" i="17"/>
  <c r="G8" i="17"/>
  <c r="F8" i="17"/>
  <c r="G7" i="17"/>
  <c r="F7" i="17"/>
  <c r="G6" i="17"/>
  <c r="F6" i="17"/>
  <c r="G5" i="17"/>
  <c r="F5" i="17"/>
  <c r="G4" i="17"/>
  <c r="F4" i="17"/>
  <c r="G3" i="17"/>
  <c r="F3" i="17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H6" i="16" s="1"/>
  <c r="G3" i="16"/>
  <c r="F3" i="16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G7" i="15"/>
  <c r="F7" i="15"/>
  <c r="G6" i="15"/>
  <c r="F6" i="15"/>
  <c r="G5" i="15"/>
  <c r="F5" i="15"/>
  <c r="G4" i="15"/>
  <c r="F4" i="15"/>
  <c r="G3" i="15"/>
  <c r="F3" i="15"/>
  <c r="M2" i="9"/>
  <c r="M2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G4" i="14"/>
  <c r="F4" i="14"/>
  <c r="G3" i="14"/>
  <c r="F3" i="14"/>
  <c r="H13" i="14" s="1"/>
  <c r="V5" i="6"/>
  <c r="U5" i="6"/>
  <c r="R5" i="6"/>
  <c r="I3" i="16" l="1"/>
  <c r="H29" i="17"/>
  <c r="J29" i="17" s="1"/>
  <c r="H25" i="17"/>
  <c r="H30" i="17"/>
  <c r="J30" i="17" s="1"/>
  <c r="H28" i="17"/>
  <c r="J28" i="17" s="1"/>
  <c r="H31" i="17"/>
  <c r="J31" i="17" s="1"/>
  <c r="I10" i="17"/>
  <c r="I32" i="17"/>
  <c r="J32" i="17" s="1"/>
  <c r="I28" i="17"/>
  <c r="I24" i="17"/>
  <c r="I27" i="17"/>
  <c r="H4" i="17"/>
  <c r="H16" i="17"/>
  <c r="I19" i="17"/>
  <c r="I23" i="17"/>
  <c r="H3" i="17"/>
  <c r="J3" i="17" s="1"/>
  <c r="I5" i="17"/>
  <c r="H6" i="17"/>
  <c r="I9" i="17"/>
  <c r="H10" i="17"/>
  <c r="J10" i="17" s="1"/>
  <c r="I13" i="17"/>
  <c r="H14" i="17"/>
  <c r="I17" i="17"/>
  <c r="H18" i="17"/>
  <c r="J18" i="17" s="1"/>
  <c r="I21" i="17"/>
  <c r="H22" i="17"/>
  <c r="J22" i="17" s="1"/>
  <c r="I25" i="17"/>
  <c r="H26" i="17"/>
  <c r="J26" i="17" s="1"/>
  <c r="H8" i="17"/>
  <c r="H12" i="17"/>
  <c r="H20" i="17"/>
  <c r="H24" i="17"/>
  <c r="J24" i="17" s="1"/>
  <c r="I3" i="17"/>
  <c r="I6" i="17"/>
  <c r="H7" i="17"/>
  <c r="H11" i="17"/>
  <c r="J11" i="17" s="1"/>
  <c r="I14" i="17"/>
  <c r="H15" i="17"/>
  <c r="I18" i="17"/>
  <c r="H19" i="17"/>
  <c r="J19" i="17" s="1"/>
  <c r="I22" i="17"/>
  <c r="H23" i="17"/>
  <c r="I26" i="17"/>
  <c r="H27" i="17"/>
  <c r="J27" i="17" s="1"/>
  <c r="I7" i="17"/>
  <c r="I11" i="17"/>
  <c r="I15" i="17"/>
  <c r="I4" i="17"/>
  <c r="H5" i="17"/>
  <c r="J5" i="17" s="1"/>
  <c r="I8" i="17"/>
  <c r="H9" i="17"/>
  <c r="J9" i="17" s="1"/>
  <c r="I12" i="17"/>
  <c r="H13" i="17"/>
  <c r="J13" i="17" s="1"/>
  <c r="I16" i="17"/>
  <c r="H17" i="17"/>
  <c r="J17" i="17" s="1"/>
  <c r="I20" i="17"/>
  <c r="H21" i="17"/>
  <c r="J21" i="17" s="1"/>
  <c r="H7" i="16"/>
  <c r="I10" i="16"/>
  <c r="I4" i="16"/>
  <c r="H5" i="16"/>
  <c r="I8" i="16"/>
  <c r="H9" i="16"/>
  <c r="I12" i="16"/>
  <c r="H13" i="16"/>
  <c r="I16" i="16"/>
  <c r="H17" i="16"/>
  <c r="H3" i="16"/>
  <c r="I5" i="16"/>
  <c r="I9" i="16"/>
  <c r="H10" i="16"/>
  <c r="J10" i="16" s="1"/>
  <c r="I13" i="16"/>
  <c r="H14" i="16"/>
  <c r="I17" i="16"/>
  <c r="I6" i="16"/>
  <c r="J6" i="16" s="1"/>
  <c r="H11" i="16"/>
  <c r="I14" i="16"/>
  <c r="H15" i="16"/>
  <c r="H4" i="16"/>
  <c r="I7" i="16"/>
  <c r="H8" i="16"/>
  <c r="I11" i="16"/>
  <c r="H12" i="16"/>
  <c r="I15" i="16"/>
  <c r="H16" i="16"/>
  <c r="H3" i="15"/>
  <c r="I5" i="15"/>
  <c r="H6" i="15"/>
  <c r="I9" i="15"/>
  <c r="H10" i="15"/>
  <c r="I13" i="15"/>
  <c r="H14" i="15"/>
  <c r="I17" i="15"/>
  <c r="H18" i="15"/>
  <c r="I21" i="15"/>
  <c r="H22" i="15"/>
  <c r="I3" i="15"/>
  <c r="I6" i="15"/>
  <c r="H7" i="15"/>
  <c r="I10" i="15"/>
  <c r="H11" i="15"/>
  <c r="I14" i="15"/>
  <c r="H15" i="15"/>
  <c r="I18" i="15"/>
  <c r="H19" i="15"/>
  <c r="I22" i="15"/>
  <c r="J3" i="15"/>
  <c r="H4" i="15"/>
  <c r="J4" i="15" s="1"/>
  <c r="I7" i="15"/>
  <c r="H8" i="15"/>
  <c r="I11" i="15"/>
  <c r="H12" i="15"/>
  <c r="J12" i="15" s="1"/>
  <c r="I15" i="15"/>
  <c r="H16" i="15"/>
  <c r="I19" i="15"/>
  <c r="J19" i="15" s="1"/>
  <c r="H20" i="15"/>
  <c r="J20" i="15" s="1"/>
  <c r="I4" i="15"/>
  <c r="H5" i="15"/>
  <c r="I8" i="15"/>
  <c r="H9" i="15"/>
  <c r="I12" i="15"/>
  <c r="H13" i="15"/>
  <c r="I16" i="15"/>
  <c r="H17" i="15"/>
  <c r="I20" i="15"/>
  <c r="H21" i="15"/>
  <c r="I20" i="14"/>
  <c r="I19" i="14"/>
  <c r="H8" i="14"/>
  <c r="H20" i="14"/>
  <c r="I27" i="14"/>
  <c r="I4" i="14"/>
  <c r="H9" i="14"/>
  <c r="I12" i="14"/>
  <c r="I16" i="14"/>
  <c r="H3" i="14"/>
  <c r="I5" i="14"/>
  <c r="H6" i="14"/>
  <c r="I9" i="14"/>
  <c r="H10" i="14"/>
  <c r="I13" i="14"/>
  <c r="J13" i="14" s="1"/>
  <c r="H14" i="14"/>
  <c r="I17" i="14"/>
  <c r="H18" i="14"/>
  <c r="I21" i="14"/>
  <c r="H22" i="14"/>
  <c r="I25" i="14"/>
  <c r="H26" i="14"/>
  <c r="H4" i="14"/>
  <c r="I7" i="14"/>
  <c r="H12" i="14"/>
  <c r="I15" i="14"/>
  <c r="I23" i="14"/>
  <c r="H24" i="14"/>
  <c r="H5" i="14"/>
  <c r="I8" i="14"/>
  <c r="H17" i="14"/>
  <c r="H21" i="14"/>
  <c r="I24" i="14"/>
  <c r="H25" i="14"/>
  <c r="J25" i="14" s="1"/>
  <c r="I3" i="14"/>
  <c r="I6" i="14"/>
  <c r="H7" i="14"/>
  <c r="I10" i="14"/>
  <c r="H11" i="14"/>
  <c r="I14" i="14"/>
  <c r="H15" i="14"/>
  <c r="I18" i="14"/>
  <c r="H19" i="14"/>
  <c r="I22" i="14"/>
  <c r="H23" i="14"/>
  <c r="I26" i="14"/>
  <c r="H27" i="14"/>
  <c r="J27" i="14" s="1"/>
  <c r="I11" i="14"/>
  <c r="H16" i="14"/>
  <c r="J16" i="14" s="1"/>
  <c r="S5" i="6"/>
  <c r="T5" i="6"/>
  <c r="J11" i="16" l="1"/>
  <c r="J3" i="16"/>
  <c r="J12" i="16"/>
  <c r="J4" i="16"/>
  <c r="J9" i="16"/>
  <c r="J5" i="16"/>
  <c r="J8" i="17"/>
  <c r="J25" i="17"/>
  <c r="J23" i="17"/>
  <c r="J14" i="17"/>
  <c r="J4" i="17"/>
  <c r="J7" i="17"/>
  <c r="J20" i="17"/>
  <c r="J15" i="17"/>
  <c r="J12" i="17"/>
  <c r="J6" i="17"/>
  <c r="J16" i="17"/>
  <c r="J14" i="16"/>
  <c r="J7" i="16"/>
  <c r="J13" i="16"/>
  <c r="J16" i="16"/>
  <c r="J8" i="16"/>
  <c r="J15" i="16"/>
  <c r="J17" i="16"/>
  <c r="J5" i="15"/>
  <c r="J21" i="15"/>
  <c r="J13" i="15"/>
  <c r="J16" i="15"/>
  <c r="J15" i="15"/>
  <c r="J7" i="15"/>
  <c r="J8" i="15"/>
  <c r="J11" i="15"/>
  <c r="J22" i="15"/>
  <c r="J6" i="15"/>
  <c r="J17" i="15"/>
  <c r="J18" i="15"/>
  <c r="J10" i="15"/>
  <c r="J14" i="15"/>
  <c r="J9" i="15"/>
  <c r="J11" i="14"/>
  <c r="J7" i="14"/>
  <c r="J24" i="14"/>
  <c r="J12" i="14"/>
  <c r="J19" i="14"/>
  <c r="J3" i="14"/>
  <c r="J17" i="14"/>
  <c r="J4" i="14"/>
  <c r="J8" i="14"/>
  <c r="J18" i="14"/>
  <c r="J10" i="14"/>
  <c r="J23" i="14"/>
  <c r="J5" i="14"/>
  <c r="J9" i="14"/>
  <c r="J21" i="14"/>
  <c r="J22" i="14"/>
  <c r="P2" i="14" s="1"/>
  <c r="J14" i="14"/>
  <c r="J6" i="14"/>
  <c r="J20" i="14"/>
  <c r="J26" i="14"/>
  <c r="J15" i="14"/>
  <c r="M2" i="6"/>
  <c r="M3" i="6"/>
  <c r="P2" i="16" l="1"/>
  <c r="Q2" i="16" s="1"/>
  <c r="P2" i="17"/>
  <c r="Q2" i="17" s="1"/>
  <c r="O2" i="17"/>
  <c r="O2" i="16"/>
  <c r="O2" i="15"/>
  <c r="P2" i="15"/>
  <c r="R2" i="15" s="1"/>
  <c r="S2" i="15" s="1"/>
  <c r="Q2" i="15"/>
  <c r="T2" i="15"/>
  <c r="O2" i="14"/>
  <c r="M3" i="14" s="1"/>
  <c r="M1" i="14" s="1"/>
  <c r="R2" i="14"/>
  <c r="S2" i="14" s="1"/>
  <c r="Q2" i="14"/>
  <c r="T2" i="14"/>
  <c r="M1" i="6"/>
  <c r="R2" i="6"/>
  <c r="R3" i="6"/>
  <c r="R2" i="16" l="1"/>
  <c r="S2" i="16" s="1"/>
  <c r="M2" i="16" s="1"/>
  <c r="T2" i="16"/>
  <c r="U2" i="16"/>
  <c r="U2" i="17"/>
  <c r="R2" i="17"/>
  <c r="S2" i="17" s="1"/>
  <c r="M2" i="17" s="1"/>
  <c r="T2" i="17"/>
  <c r="M3" i="17"/>
  <c r="M1" i="17" s="1"/>
  <c r="M3" i="16"/>
  <c r="M1" i="16" s="1"/>
  <c r="M3" i="15"/>
  <c r="M1" i="15" s="1"/>
  <c r="U2" i="15"/>
  <c r="M2" i="15"/>
  <c r="U2" i="14"/>
  <c r="F4" i="9"/>
  <c r="G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G3" i="9"/>
  <c r="F3" i="9"/>
  <c r="H4" i="9" s="1"/>
  <c r="I5" i="9" l="1"/>
  <c r="H3" i="9"/>
  <c r="I27" i="9"/>
  <c r="I21" i="9"/>
  <c r="I15" i="9"/>
  <c r="I9" i="9"/>
  <c r="I3" i="9"/>
  <c r="H27" i="9"/>
  <c r="H25" i="9"/>
  <c r="H23" i="9"/>
  <c r="H21" i="9"/>
  <c r="H19" i="9"/>
  <c r="H17" i="9"/>
  <c r="H15" i="9"/>
  <c r="H13" i="9"/>
  <c r="H11" i="9"/>
  <c r="H9" i="9"/>
  <c r="H7" i="9"/>
  <c r="H5" i="9"/>
  <c r="J5" i="9" s="1"/>
  <c r="I25" i="9"/>
  <c r="I19" i="9"/>
  <c r="I13" i="9"/>
  <c r="I7" i="9"/>
  <c r="I26" i="9"/>
  <c r="I24" i="9"/>
  <c r="I22" i="9"/>
  <c r="I20" i="9"/>
  <c r="I18" i="9"/>
  <c r="I16" i="9"/>
  <c r="I14" i="9"/>
  <c r="I12" i="9"/>
  <c r="I10" i="9"/>
  <c r="I8" i="9"/>
  <c r="I6" i="9"/>
  <c r="I4" i="9"/>
  <c r="I23" i="9"/>
  <c r="J23" i="9" s="1"/>
  <c r="I17" i="9"/>
  <c r="I11" i="9"/>
  <c r="H26" i="9"/>
  <c r="H24" i="9"/>
  <c r="H22" i="9"/>
  <c r="J22" i="9" s="1"/>
  <c r="H20" i="9"/>
  <c r="H18" i="9"/>
  <c r="H16" i="9"/>
  <c r="H14" i="9"/>
  <c r="H12" i="9"/>
  <c r="H10" i="9"/>
  <c r="H8" i="9"/>
  <c r="H6" i="9"/>
  <c r="J6" i="9" s="1"/>
  <c r="V3" i="6"/>
  <c r="U3" i="6"/>
  <c r="V2" i="6"/>
  <c r="U2" i="6"/>
  <c r="J27" i="9" l="1"/>
  <c r="J3" i="9"/>
  <c r="J16" i="9"/>
  <c r="J18" i="9"/>
  <c r="J11" i="9"/>
  <c r="J12" i="9"/>
  <c r="J20" i="9"/>
  <c r="J19" i="9"/>
  <c r="J10" i="9"/>
  <c r="J26" i="9"/>
  <c r="J13" i="9"/>
  <c r="J15" i="9"/>
  <c r="J4" i="9"/>
  <c r="J21" i="9"/>
  <c r="J8" i="9"/>
  <c r="J24" i="9"/>
  <c r="J14" i="9"/>
  <c r="J7" i="9"/>
  <c r="J9" i="9"/>
  <c r="J17" i="9"/>
  <c r="J25" i="9"/>
  <c r="O2" i="9" l="1"/>
  <c r="P2" i="9"/>
  <c r="M3" i="9" l="1"/>
  <c r="M1" i="9" s="1"/>
  <c r="R2" i="9"/>
  <c r="S2" i="9" s="1"/>
  <c r="Q2" i="9"/>
  <c r="T2" i="9"/>
  <c r="U2" i="9"/>
  <c r="E4" i="6"/>
  <c r="F4" i="6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F3" i="6"/>
  <c r="E3" i="6"/>
  <c r="H35" i="6" l="1"/>
  <c r="H36" i="6"/>
  <c r="H34" i="6"/>
  <c r="H37" i="6"/>
  <c r="H33" i="6"/>
  <c r="G36" i="6"/>
  <c r="I36" i="6" s="1"/>
  <c r="G33" i="6"/>
  <c r="I33" i="6" s="1"/>
  <c r="G37" i="6"/>
  <c r="G35" i="6"/>
  <c r="I35" i="6" s="1"/>
  <c r="G34" i="6"/>
  <c r="H3" i="6"/>
  <c r="G5" i="6"/>
  <c r="H23" i="6"/>
  <c r="G23" i="6"/>
  <c r="G13" i="6"/>
  <c r="H24" i="6"/>
  <c r="H16" i="6"/>
  <c r="H6" i="6"/>
  <c r="G14" i="6"/>
  <c r="H13" i="6"/>
  <c r="H32" i="6"/>
  <c r="G32" i="6"/>
  <c r="H28" i="6"/>
  <c r="H26" i="6"/>
  <c r="H22" i="6"/>
  <c r="H18" i="6"/>
  <c r="H14" i="6"/>
  <c r="H10" i="6"/>
  <c r="H4" i="6"/>
  <c r="G28" i="6"/>
  <c r="G24" i="6"/>
  <c r="G20" i="6"/>
  <c r="G16" i="6"/>
  <c r="I16" i="6" s="1"/>
  <c r="G12" i="6"/>
  <c r="G10" i="6"/>
  <c r="G6" i="6"/>
  <c r="G3" i="6"/>
  <c r="H31" i="6"/>
  <c r="H29" i="6"/>
  <c r="H27" i="6"/>
  <c r="H25" i="6"/>
  <c r="H21" i="6"/>
  <c r="H19" i="6"/>
  <c r="H17" i="6"/>
  <c r="H15" i="6"/>
  <c r="H11" i="6"/>
  <c r="H9" i="6"/>
  <c r="H7" i="6"/>
  <c r="H5" i="6"/>
  <c r="H30" i="6"/>
  <c r="H20" i="6"/>
  <c r="H12" i="6"/>
  <c r="H8" i="6"/>
  <c r="G30" i="6"/>
  <c r="G26" i="6"/>
  <c r="G22" i="6"/>
  <c r="G18" i="6"/>
  <c r="G8" i="6"/>
  <c r="G4" i="6"/>
  <c r="G31" i="6"/>
  <c r="G29" i="6"/>
  <c r="G27" i="6"/>
  <c r="G25" i="6"/>
  <c r="G21" i="6"/>
  <c r="G19" i="6"/>
  <c r="G17" i="6"/>
  <c r="G15" i="6"/>
  <c r="G11" i="6"/>
  <c r="G9" i="6"/>
  <c r="G7" i="6"/>
  <c r="I19" i="6" l="1"/>
  <c r="I29" i="6"/>
  <c r="I3" i="6"/>
  <c r="I37" i="6"/>
  <c r="I34" i="6"/>
  <c r="I8" i="6"/>
  <c r="I28" i="6"/>
  <c r="I23" i="6"/>
  <c r="I7" i="6"/>
  <c r="I17" i="6"/>
  <c r="I27" i="6"/>
  <c r="I26" i="6"/>
  <c r="I9" i="6"/>
  <c r="I18" i="6"/>
  <c r="I21" i="6"/>
  <c r="I15" i="6"/>
  <c r="I25" i="6"/>
  <c r="I4" i="6"/>
  <c r="I11" i="6"/>
  <c r="I31" i="6"/>
  <c r="I6" i="6"/>
  <c r="I13" i="6"/>
  <c r="I24" i="6"/>
  <c r="I22" i="6"/>
  <c r="I32" i="6"/>
  <c r="I20" i="6"/>
  <c r="I5" i="6"/>
  <c r="I30" i="6"/>
  <c r="I10" i="6"/>
  <c r="I14" i="6"/>
  <c r="I12" i="6"/>
  <c r="S3" i="6"/>
  <c r="T3" i="6" s="1"/>
  <c r="S2" i="6"/>
  <c r="T2" i="6" s="1"/>
</calcChain>
</file>

<file path=xl/sharedStrings.xml><?xml version="1.0" encoding="utf-8"?>
<sst xmlns="http://schemas.openxmlformats.org/spreadsheetml/2006/main" count="157" uniqueCount="41">
  <si>
    <t>Radius^2</t>
  </si>
  <si>
    <t>Point Y</t>
  </si>
  <si>
    <t>Point X</t>
  </si>
  <si>
    <t>Center Y</t>
  </si>
  <si>
    <t>Center X</t>
  </si>
  <si>
    <t>Group</t>
  </si>
  <si>
    <t>Grand Total</t>
  </si>
  <si>
    <t>Sum Radius^2</t>
  </si>
  <si>
    <t>cB(n)</t>
  </si>
  <si>
    <t>2n-1</t>
  </si>
  <si>
    <t>cG(2n-1)</t>
  </si>
  <si>
    <t>Est. Sigma</t>
  </si>
  <si>
    <t>Confidence:</t>
  </si>
  <si>
    <t>Count of Group</t>
  </si>
  <si>
    <t>MOA</t>
  </si>
  <si>
    <t>POI (Inches)</t>
  </si>
  <si>
    <t>POA (Inches)</t>
  </si>
  <si>
    <t>Aim X</t>
  </si>
  <si>
    <t>Aim Y</t>
  </si>
  <si>
    <t>Impact X</t>
  </si>
  <si>
    <t>Impact Y</t>
  </si>
  <si>
    <t>(Yards)</t>
  </si>
  <si>
    <t>Distance</t>
  </si>
  <si>
    <t>Estimated Sigma</t>
  </si>
  <si>
    <t>Accuracy Class</t>
  </si>
  <si>
    <t>90% confidence value</t>
  </si>
  <si>
    <t>(Inches)</t>
  </si>
  <si>
    <t>2n+1-2g</t>
  </si>
  <si>
    <t>cG</t>
  </si>
  <si>
    <t>Average Velocity</t>
  </si>
  <si>
    <t>1015fps</t>
  </si>
  <si>
    <t>10.0fps</t>
  </si>
  <si>
    <t>Stdev</t>
  </si>
  <si>
    <t>1039fps</t>
  </si>
  <si>
    <t>15.2fps</t>
  </si>
  <si>
    <t>1045fps</t>
  </si>
  <si>
    <t>14.7fps</t>
  </si>
  <si>
    <t>Omitted five foulers</t>
  </si>
  <si>
    <t>1022fps</t>
  </si>
  <si>
    <t>14.5fps</t>
  </si>
  <si>
    <t>Shot immediately after Gemtech; no foulers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</si>
</sst>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color theme="0" tint="-0.499984740745262"/>
      <name val="Arial"/>
      <family val="2"/>
    </font>
    <font>
      <b/>
      <sz val="8"/>
      <color rgb="FFFA7D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sz val="10"/>
      <color rgb="FF3F3F3F"/>
      <name val="Arial"/>
      <family val="2"/>
    </font>
    <font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" borderId="1" applyNumberFormat="0" applyAlignment="0" applyProtection="0"/>
    <xf numFmtId="0" fontId="5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3" borderId="5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6" fillId="0" borderId="0" xfId="0" applyNumberFormat="1" applyFont="1"/>
    <xf numFmtId="43" fontId="0" fillId="0" borderId="0" xfId="0" applyNumberFormat="1"/>
    <xf numFmtId="0" fontId="0" fillId="33" borderId="0" xfId="0" applyFill="1"/>
    <xf numFmtId="0" fontId="0" fillId="0" borderId="10" xfId="0" applyBorder="1"/>
    <xf numFmtId="0" fontId="0" fillId="0" borderId="0" xfId="0"/>
    <xf numFmtId="0" fontId="0" fillId="0" borderId="11" xfId="0" applyBorder="1"/>
    <xf numFmtId="164" fontId="0" fillId="0" borderId="0" xfId="0" applyNumberFormat="1"/>
    <xf numFmtId="164" fontId="0" fillId="0" borderId="0" xfId="2" applyNumberFormat="1" applyFont="1"/>
    <xf numFmtId="0" fontId="6" fillId="0" borderId="12" xfId="0" applyFont="1" applyBorder="1"/>
    <xf numFmtId="43" fontId="5" fillId="3" borderId="13" xfId="4" applyNumberFormat="1" applyBorder="1"/>
    <xf numFmtId="43" fontId="0" fillId="0" borderId="12" xfId="0" applyNumberFormat="1" applyBorder="1"/>
    <xf numFmtId="43" fontId="5" fillId="3" borderId="15" xfId="4" applyNumberFormat="1" applyBorder="1"/>
    <xf numFmtId="0" fontId="0" fillId="0" borderId="14" xfId="0" pivotButton="1" applyBorder="1"/>
    <xf numFmtId="0" fontId="21" fillId="0" borderId="14" xfId="0" applyFont="1" applyBorder="1" applyAlignment="1">
      <alignment horizontal="center"/>
    </xf>
    <xf numFmtId="0" fontId="7" fillId="3" borderId="16" xfId="4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9" fontId="4" fillId="2" borderId="16" xfId="1" applyFont="1" applyFill="1" applyBorder="1"/>
    <xf numFmtId="2" fontId="23" fillId="0" borderId="14" xfId="0" applyNumberFormat="1" applyFont="1" applyBorder="1"/>
    <xf numFmtId="0" fontId="23" fillId="0" borderId="14" xfId="0" applyFont="1" applyBorder="1"/>
    <xf numFmtId="2" fontId="6" fillId="0" borderId="0" xfId="0" applyNumberFormat="1" applyFont="1"/>
    <xf numFmtId="2" fontId="6" fillId="0" borderId="12" xfId="0" applyNumberFormat="1" applyFont="1" applyBorder="1"/>
    <xf numFmtId="0" fontId="6" fillId="0" borderId="12" xfId="0" applyNumberFormat="1" applyFont="1" applyBorder="1"/>
    <xf numFmtId="43" fontId="3" fillId="0" borderId="12" xfId="0" applyNumberFormat="1" applyFont="1" applyBorder="1"/>
    <xf numFmtId="0" fontId="3" fillId="33" borderId="18" xfId="0" applyFont="1" applyFill="1" applyBorder="1"/>
    <xf numFmtId="0" fontId="3" fillId="0" borderId="19" xfId="0" applyFont="1" applyBorder="1"/>
    <xf numFmtId="0" fontId="0" fillId="0" borderId="17" xfId="0" applyBorder="1"/>
    <xf numFmtId="0" fontId="3" fillId="0" borderId="21" xfId="0" applyFont="1" applyBorder="1"/>
    <xf numFmtId="0" fontId="3" fillId="33" borderId="20" xfId="0" applyFont="1" applyFill="1" applyBorder="1"/>
    <xf numFmtId="43" fontId="0" fillId="0" borderId="0" xfId="0" applyNumberFormat="1" applyFill="1" applyBorder="1"/>
    <xf numFmtId="0" fontId="0" fillId="0" borderId="0" xfId="0" applyBorder="1"/>
    <xf numFmtId="0" fontId="6" fillId="0" borderId="0" xfId="0" quotePrefix="1" applyFont="1"/>
    <xf numFmtId="43" fontId="0" fillId="0" borderId="0" xfId="0" quotePrefix="1" applyNumberFormat="1" applyFill="1" applyBorder="1"/>
    <xf numFmtId="0" fontId="0" fillId="33" borderId="18" xfId="0" applyFill="1" applyBorder="1"/>
    <xf numFmtId="0" fontId="0" fillId="0" borderId="19" xfId="0" applyBorder="1"/>
    <xf numFmtId="0" fontId="0" fillId="0" borderId="21" xfId="0" applyBorder="1"/>
    <xf numFmtId="0" fontId="25" fillId="0" borderId="14" xfId="0" applyFont="1" applyBorder="1" applyAlignment="1">
      <alignment horizontal="right"/>
    </xf>
    <xf numFmtId="0" fontId="24" fillId="0" borderId="14" xfId="0" applyFont="1" applyBorder="1" applyAlignment="1">
      <alignment horizontal="center"/>
    </xf>
    <xf numFmtId="2" fontId="25" fillId="0" borderId="14" xfId="0" applyNumberFormat="1" applyFont="1" applyBorder="1" applyAlignment="1">
      <alignment horizontal="right"/>
    </xf>
    <xf numFmtId="0" fontId="0" fillId="0" borderId="0" xfId="0"/>
    <xf numFmtId="0" fontId="3" fillId="0" borderId="0" xfId="0" applyFont="1"/>
    <xf numFmtId="0" fontId="0" fillId="33" borderId="0" xfId="0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12" xfId="0" applyFont="1" applyBorder="1"/>
    <xf numFmtId="43" fontId="0" fillId="0" borderId="12" xfId="0" applyNumberFormat="1" applyBorder="1"/>
    <xf numFmtId="0" fontId="22" fillId="0" borderId="14" xfId="0" applyFont="1" applyBorder="1" applyAlignment="1">
      <alignment horizontal="center"/>
    </xf>
    <xf numFmtId="9" fontId="4" fillId="2" borderId="16" xfId="1" applyFont="1" applyFill="1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43" fontId="6" fillId="0" borderId="0" xfId="0" applyNumberFormat="1" applyFont="1"/>
    <xf numFmtId="0" fontId="15" fillId="3" borderId="5" xfId="13" applyAlignment="1">
      <alignment horizontal="right"/>
    </xf>
    <xf numFmtId="43" fontId="15" fillId="3" borderId="5" xfId="13" applyNumberFormat="1"/>
    <xf numFmtId="0" fontId="17" fillId="9" borderId="12" xfId="20" applyNumberFormat="1" applyFont="1" applyBorder="1" applyAlignment="1">
      <alignment horizontal="right"/>
    </xf>
    <xf numFmtId="0" fontId="17" fillId="9" borderId="12" xfId="20" applyNumberFormat="1" applyFont="1" applyBorder="1" applyAlignment="1">
      <alignment horizontal="center"/>
    </xf>
    <xf numFmtId="0" fontId="27" fillId="3" borderId="5" xfId="13" applyFont="1" applyAlignment="1">
      <alignment horizontal="right"/>
    </xf>
    <xf numFmtId="43" fontId="27" fillId="3" borderId="5" xfId="13" applyNumberFormat="1" applyFont="1"/>
    <xf numFmtId="0" fontId="0" fillId="0" borderId="22" xfId="0" applyBorder="1" applyAlignment="1">
      <alignment horizontal="center"/>
    </xf>
    <xf numFmtId="0" fontId="3" fillId="0" borderId="0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3" fontId="28" fillId="0" borderId="0" xfId="0" applyNumberFormat="1" applyFont="1"/>
    <xf numFmtId="0" fontId="26" fillId="0" borderId="0" xfId="0" applyFont="1" applyAlignment="1">
      <alignment horizontal="right"/>
    </xf>
    <xf numFmtId="2" fontId="1" fillId="0" borderId="0" xfId="0" applyNumberFormat="1" applyFont="1"/>
    <xf numFmtId="164" fontId="26" fillId="0" borderId="0" xfId="2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4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3" builtinId="20" customBuiltin="1"/>
    <cellStyle name="Linked Cell" xfId="14" builtinId="24" customBuiltin="1"/>
    <cellStyle name="Neutral" xfId="12" builtinId="28" customBuiltin="1"/>
    <cellStyle name="Normal" xfId="0" builtinId="0"/>
    <cellStyle name="Note" xfId="17" builtinId="10" customBuiltin="1"/>
    <cellStyle name="Output" xfId="13" builtinId="21" customBuiltin="1"/>
    <cellStyle name="Percent" xfId="1" builtinId="5"/>
    <cellStyle name="Title" xfId="5" builtinId="15" customBuiltin="1"/>
    <cellStyle name="Total" xfId="19" builtinId="25" customBuiltin="1"/>
    <cellStyle name="Warning Text" xfId="16" builtinId="11" customBuiltin="1"/>
  </cellStyles>
  <dxfs count="9">
    <dxf>
      <numFmt numFmtId="2" formatCode="0.00"/>
    </dxf>
    <dxf>
      <numFmt numFmtId="2" formatCode="0.00"/>
    </dxf>
    <dxf>
      <font>
        <sz val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1">
                  <a:alpha val="50000"/>
                </a:schemeClr>
              </a:solidFill>
            </c:spPr>
          </c:marker>
          <c:xVal>
            <c:numRef>
              <c:f>'SK+1'!$F$3:$F$27</c:f>
              <c:numCache>
                <c:formatCode>General</c:formatCode>
                <c:ptCount val="25"/>
                <c:pt idx="0">
                  <c:v>0.80802292263610331</c:v>
                </c:pt>
                <c:pt idx="1">
                  <c:v>0.53104106972301823</c:v>
                </c:pt>
                <c:pt idx="2">
                  <c:v>0.44508118433619887</c:v>
                </c:pt>
                <c:pt idx="3">
                  <c:v>0.61700095510983755</c:v>
                </c:pt>
                <c:pt idx="4">
                  <c:v>0.49665711556828995</c:v>
                </c:pt>
                <c:pt idx="5">
                  <c:v>0.26743075453677284</c:v>
                </c:pt>
                <c:pt idx="6">
                  <c:v>0.97039159503342898</c:v>
                </c:pt>
                <c:pt idx="7">
                  <c:v>0.72015281757402239</c:v>
                </c:pt>
                <c:pt idx="8">
                  <c:v>0.38013371537726981</c:v>
                </c:pt>
                <c:pt idx="9">
                  <c:v>0.31900668576886476</c:v>
                </c:pt>
                <c:pt idx="10">
                  <c:v>0.85577841451766945</c:v>
                </c:pt>
                <c:pt idx="11">
                  <c:v>0.95893027698185251</c:v>
                </c:pt>
                <c:pt idx="12">
                  <c:v>0.62082139446036244</c:v>
                </c:pt>
                <c:pt idx="13">
                  <c:v>0.34383954154727742</c:v>
                </c:pt>
                <c:pt idx="14">
                  <c:v>4.7755491881566213E-2</c:v>
                </c:pt>
                <c:pt idx="15">
                  <c:v>0.18529130850047668</c:v>
                </c:pt>
                <c:pt idx="16">
                  <c:v>-4.9665711556830354E-2</c:v>
                </c:pt>
                <c:pt idx="17">
                  <c:v>0.20248328557784123</c:v>
                </c:pt>
                <c:pt idx="18">
                  <c:v>0.39350525310410606</c:v>
                </c:pt>
                <c:pt idx="19">
                  <c:v>0.2884431709646606</c:v>
                </c:pt>
              </c:numCache>
            </c:numRef>
          </c:xVal>
          <c:yVal>
            <c:numRef>
              <c:f>'SK+1'!$G$3:$G$27</c:f>
              <c:numCache>
                <c:formatCode>General</c:formatCode>
                <c:ptCount val="25"/>
                <c:pt idx="0">
                  <c:v>-0.29035339063992216</c:v>
                </c:pt>
                <c:pt idx="1">
                  <c:v>8.4049665711557753E-2</c:v>
                </c:pt>
                <c:pt idx="2">
                  <c:v>-4.5845272206302072E-2</c:v>
                </c:pt>
                <c:pt idx="3">
                  <c:v>-1.146131805157467E-2</c:v>
                </c:pt>
                <c:pt idx="4">
                  <c:v>4.9665711556830354E-2</c:v>
                </c:pt>
                <c:pt idx="5">
                  <c:v>0.49092645654250178</c:v>
                </c:pt>
                <c:pt idx="6">
                  <c:v>-3.8204393505248901E-3</c:v>
                </c:pt>
                <c:pt idx="7">
                  <c:v>-9.9331423113657322E-2</c:v>
                </c:pt>
                <c:pt idx="8">
                  <c:v>-0.24832855778414498</c:v>
                </c:pt>
                <c:pt idx="9">
                  <c:v>-0.22158548233046738</c:v>
                </c:pt>
                <c:pt idx="10">
                  <c:v>0.47373447946514063</c:v>
                </c:pt>
                <c:pt idx="11">
                  <c:v>-0.19484240687678975</c:v>
                </c:pt>
                <c:pt idx="12">
                  <c:v>-0.39541547277936767</c:v>
                </c:pt>
                <c:pt idx="13">
                  <c:v>-0.29990448901623523</c:v>
                </c:pt>
                <c:pt idx="14">
                  <c:v>0.23113658070678214</c:v>
                </c:pt>
                <c:pt idx="15">
                  <c:v>4.3935052531040478E-2</c:v>
                </c:pt>
                <c:pt idx="16">
                  <c:v>0.17382999044890371</c:v>
                </c:pt>
                <c:pt idx="17">
                  <c:v>0.50429799426934319</c:v>
                </c:pt>
                <c:pt idx="18">
                  <c:v>0.68576886341929322</c:v>
                </c:pt>
                <c:pt idx="19">
                  <c:v>0.74689589302769821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27520"/>
        <c:axId val="260922368"/>
      </c:scatterChart>
      <c:valAx>
        <c:axId val="247227520"/>
        <c:scaling>
          <c:orientation val="minMax"/>
          <c:min val="-1.5"/>
        </c:scaling>
        <c:delete val="0"/>
        <c:axPos val="b"/>
        <c:numFmt formatCode="General" sourceLinked="1"/>
        <c:majorTickMark val="out"/>
        <c:minorTickMark val="none"/>
        <c:tickLblPos val="nextTo"/>
        <c:crossAx val="260922368"/>
        <c:crosses val="autoZero"/>
        <c:crossBetween val="midCat"/>
      </c:valAx>
      <c:valAx>
        <c:axId val="260922368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227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1">
                  <a:alpha val="50000"/>
                </a:schemeClr>
              </a:solidFill>
            </c:spPr>
          </c:marker>
          <c:xVal>
            <c:numRef>
              <c:f>CCI!$F$3:$F$27</c:f>
              <c:numCache>
                <c:formatCode>General</c:formatCode>
                <c:ptCount val="25"/>
                <c:pt idx="0">
                  <c:v>-0.44699140401146131</c:v>
                </c:pt>
                <c:pt idx="1">
                  <c:v>5.5396370582616844E-2</c:v>
                </c:pt>
                <c:pt idx="2">
                  <c:v>0.29035339063992388</c:v>
                </c:pt>
                <c:pt idx="3">
                  <c:v>0.64756446991403926</c:v>
                </c:pt>
                <c:pt idx="4">
                  <c:v>0.16618911174785053</c:v>
                </c:pt>
                <c:pt idx="5">
                  <c:v>1.027698185291309</c:v>
                </c:pt>
                <c:pt idx="6">
                  <c:v>0.93791786055396398</c:v>
                </c:pt>
                <c:pt idx="7">
                  <c:v>0.81566380133715388</c:v>
                </c:pt>
                <c:pt idx="8">
                  <c:v>0.9035339063992357</c:v>
                </c:pt>
                <c:pt idx="9">
                  <c:v>0.89207258834766023</c:v>
                </c:pt>
                <c:pt idx="10">
                  <c:v>0.43935052531041152</c:v>
                </c:pt>
                <c:pt idx="11">
                  <c:v>1.5281757402101257E-2</c:v>
                </c:pt>
                <c:pt idx="12">
                  <c:v>1.5281757402101257E-2</c:v>
                </c:pt>
                <c:pt idx="13">
                  <c:v>0.18147086914995347</c:v>
                </c:pt>
                <c:pt idx="14">
                  <c:v>0.61891117478510005</c:v>
                </c:pt>
                <c:pt idx="15">
                  <c:v>0.44890162368672376</c:v>
                </c:pt>
                <c:pt idx="16">
                  <c:v>0.80802292263610331</c:v>
                </c:pt>
                <c:pt idx="17">
                  <c:v>0.19293218720152816</c:v>
                </c:pt>
                <c:pt idx="18">
                  <c:v>0.328557784145177</c:v>
                </c:pt>
                <c:pt idx="19">
                  <c:v>0.98567335243553023</c:v>
                </c:pt>
                <c:pt idx="20">
                  <c:v>0.51002865329512792</c:v>
                </c:pt>
                <c:pt idx="21">
                  <c:v>0.37631327602674325</c:v>
                </c:pt>
                <c:pt idx="22">
                  <c:v>0.26361031518624622</c:v>
                </c:pt>
                <c:pt idx="23">
                  <c:v>0.34192932187201414</c:v>
                </c:pt>
                <c:pt idx="24">
                  <c:v>0.50047755491881485</c:v>
                </c:pt>
              </c:numCache>
            </c:numRef>
          </c:xVal>
          <c:yVal>
            <c:numRef>
              <c:f>CCI!$G$3:$G$27</c:f>
              <c:numCache>
                <c:formatCode>General</c:formatCode>
                <c:ptCount val="25"/>
                <c:pt idx="0">
                  <c:v>-0.8271251193887299</c:v>
                </c:pt>
                <c:pt idx="1">
                  <c:v>-0.86150907354345774</c:v>
                </c:pt>
                <c:pt idx="2">
                  <c:v>-0.72779369627507173</c:v>
                </c:pt>
                <c:pt idx="3">
                  <c:v>-0.27125119388729729</c:v>
                </c:pt>
                <c:pt idx="4">
                  <c:v>-0.1814708691499522</c:v>
                </c:pt>
                <c:pt idx="5">
                  <c:v>-0.84240687679083071</c:v>
                </c:pt>
                <c:pt idx="6">
                  <c:v>-0.71824259789875899</c:v>
                </c:pt>
                <c:pt idx="7">
                  <c:v>-0.55205348615090677</c:v>
                </c:pt>
                <c:pt idx="8">
                  <c:v>-0.36103151862464194</c:v>
                </c:pt>
                <c:pt idx="9">
                  <c:v>-0.49665711556828995</c:v>
                </c:pt>
                <c:pt idx="10">
                  <c:v>-0.71824259789875899</c:v>
                </c:pt>
                <c:pt idx="11">
                  <c:v>-0.54059216809933042</c:v>
                </c:pt>
                <c:pt idx="12">
                  <c:v>-0.11652340019102186</c:v>
                </c:pt>
                <c:pt idx="13">
                  <c:v>-8.2139446036294458E-2</c:v>
                </c:pt>
                <c:pt idx="14">
                  <c:v>0.21967526265520576</c:v>
                </c:pt>
                <c:pt idx="15">
                  <c:v>-1.266475644699141</c:v>
                </c:pt>
                <c:pt idx="16">
                  <c:v>-0.9302769818529133</c:v>
                </c:pt>
                <c:pt idx="17">
                  <c:v>-0.63992359121298947</c:v>
                </c:pt>
                <c:pt idx="18">
                  <c:v>-0.27125119388729774</c:v>
                </c:pt>
                <c:pt idx="19">
                  <c:v>-0.19293218720152816</c:v>
                </c:pt>
                <c:pt idx="20">
                  <c:v>0.50047755491881318</c:v>
                </c:pt>
                <c:pt idx="21">
                  <c:v>0.23304680038204373</c:v>
                </c:pt>
                <c:pt idx="22">
                  <c:v>0.20057306590257792</c:v>
                </c:pt>
                <c:pt idx="23">
                  <c:v>-0.38204393505253142</c:v>
                </c:pt>
                <c:pt idx="24">
                  <c:v>-1.2416427889207267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616640"/>
        <c:axId val="49717248"/>
      </c:scatterChart>
      <c:valAx>
        <c:axId val="291616640"/>
        <c:scaling>
          <c:orientation val="minMax"/>
          <c:min val="-1.5"/>
        </c:scaling>
        <c:delete val="0"/>
        <c:axPos val="b"/>
        <c:numFmt formatCode="General" sourceLinked="1"/>
        <c:majorTickMark val="out"/>
        <c:minorTickMark val="none"/>
        <c:tickLblPos val="nextTo"/>
        <c:crossAx val="49717248"/>
        <c:crosses val="autoZero"/>
        <c:crossBetween val="midCat"/>
      </c:valAx>
      <c:valAx>
        <c:axId val="49717248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616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1">
                  <a:alpha val="50000"/>
                </a:schemeClr>
              </a:solidFill>
            </c:spPr>
          </c:marker>
          <c:xVal>
            <c:numRef>
              <c:f>Gemtech!$F$3:$F$27</c:f>
              <c:numCache>
                <c:formatCode>General</c:formatCode>
                <c:ptCount val="25"/>
                <c:pt idx="0">
                  <c:v>0.11843361986628516</c:v>
                </c:pt>
                <c:pt idx="1">
                  <c:v>0.70296084049665775</c:v>
                </c:pt>
                <c:pt idx="2">
                  <c:v>0.93600764087870147</c:v>
                </c:pt>
                <c:pt idx="3">
                  <c:v>1.0353390639923596</c:v>
                </c:pt>
                <c:pt idx="4">
                  <c:v>0.63610315186246458</c:v>
                </c:pt>
                <c:pt idx="5">
                  <c:v>0.3457497612225407</c:v>
                </c:pt>
                <c:pt idx="6">
                  <c:v>0.69531996179560629</c:v>
                </c:pt>
                <c:pt idx="7">
                  <c:v>1.4135625596943653</c:v>
                </c:pt>
                <c:pt idx="8">
                  <c:v>1.9140401146131802</c:v>
                </c:pt>
                <c:pt idx="9">
                  <c:v>1.9235912129894932</c:v>
                </c:pt>
                <c:pt idx="10">
                  <c:v>4.9665711556828661E-2</c:v>
                </c:pt>
                <c:pt idx="11">
                  <c:v>0.6017191977077363</c:v>
                </c:pt>
                <c:pt idx="12">
                  <c:v>1.2015281757402103</c:v>
                </c:pt>
                <c:pt idx="13">
                  <c:v>1.2015281757402103</c:v>
                </c:pt>
                <c:pt idx="14">
                  <c:v>1.3008595988538685</c:v>
                </c:pt>
                <c:pt idx="15">
                  <c:v>0.48328557784145204</c:v>
                </c:pt>
                <c:pt idx="16">
                  <c:v>0.8328557784145193</c:v>
                </c:pt>
                <c:pt idx="17">
                  <c:v>1.083094555873926</c:v>
                </c:pt>
                <c:pt idx="18">
                  <c:v>1.3333333333333341</c:v>
                </c:pt>
                <c:pt idx="19">
                  <c:v>0.76790830945558775</c:v>
                </c:pt>
                <c:pt idx="20">
                  <c:v>0.34383954154727742</c:v>
                </c:pt>
                <c:pt idx="21">
                  <c:v>0.89589302769818513</c:v>
                </c:pt>
                <c:pt idx="22">
                  <c:v>1.2798471824259789</c:v>
                </c:pt>
                <c:pt idx="23">
                  <c:v>1.3944603629417383</c:v>
                </c:pt>
                <c:pt idx="24">
                  <c:v>1.7784145176695323</c:v>
                </c:pt>
              </c:numCache>
            </c:numRef>
          </c:xVal>
          <c:yVal>
            <c:numRef>
              <c:f>Gemtech!$G$3:$G$27</c:f>
              <c:numCache>
                <c:formatCode>General</c:formatCode>
                <c:ptCount val="25"/>
                <c:pt idx="0">
                  <c:v>-0.7354345749761223</c:v>
                </c:pt>
                <c:pt idx="1">
                  <c:v>-0.50429799426934108</c:v>
                </c:pt>
                <c:pt idx="2">
                  <c:v>-0.7354345749761223</c:v>
                </c:pt>
                <c:pt idx="3">
                  <c:v>-0.35339063992359132</c:v>
                </c:pt>
                <c:pt idx="4">
                  <c:v>0.23113658070678128</c:v>
                </c:pt>
                <c:pt idx="5">
                  <c:v>0.68385864374403038</c:v>
                </c:pt>
                <c:pt idx="6">
                  <c:v>0.56542502387774607</c:v>
                </c:pt>
                <c:pt idx="7">
                  <c:v>-0.20057306590257878</c:v>
                </c:pt>
                <c:pt idx="8">
                  <c:v>0.133715377268386</c:v>
                </c:pt>
                <c:pt idx="9">
                  <c:v>-4.9665711556829084E-2</c:v>
                </c:pt>
                <c:pt idx="10">
                  <c:v>0.22540592168099396</c:v>
                </c:pt>
                <c:pt idx="11">
                  <c:v>-0.39159503342884278</c:v>
                </c:pt>
                <c:pt idx="12">
                  <c:v>-0.87488061127029482</c:v>
                </c:pt>
                <c:pt idx="13">
                  <c:v>-0.15663801337153746</c:v>
                </c:pt>
                <c:pt idx="14">
                  <c:v>0.54250238777459547</c:v>
                </c:pt>
                <c:pt idx="15">
                  <c:v>2.2922636103152733E-2</c:v>
                </c:pt>
                <c:pt idx="16">
                  <c:v>5.7306590257880138E-2</c:v>
                </c:pt>
                <c:pt idx="17">
                  <c:v>-0.62846227316141312</c:v>
                </c:pt>
                <c:pt idx="18">
                  <c:v>0.2063037249283661</c:v>
                </c:pt>
                <c:pt idx="19">
                  <c:v>0.70678127984718264</c:v>
                </c:pt>
                <c:pt idx="20">
                  <c:v>0.42406876790830861</c:v>
                </c:pt>
                <c:pt idx="21">
                  <c:v>0.25787965616045805</c:v>
                </c:pt>
                <c:pt idx="22">
                  <c:v>7.4498567335242988E-2</c:v>
                </c:pt>
                <c:pt idx="23">
                  <c:v>-0.1757402101241636</c:v>
                </c:pt>
                <c:pt idx="24">
                  <c:v>0.47564469914040225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781248"/>
        <c:axId val="249725312"/>
      </c:scatterChart>
      <c:valAx>
        <c:axId val="249781248"/>
        <c:scaling>
          <c:orientation val="minMax"/>
          <c:max val="2"/>
          <c:min val="-1"/>
        </c:scaling>
        <c:delete val="0"/>
        <c:axPos val="b"/>
        <c:numFmt formatCode="General" sourceLinked="1"/>
        <c:majorTickMark val="out"/>
        <c:minorTickMark val="none"/>
        <c:tickLblPos val="nextTo"/>
        <c:crossAx val="249725312"/>
        <c:crosses val="autoZero"/>
        <c:crossBetween val="midCat"/>
      </c:valAx>
      <c:valAx>
        <c:axId val="249725312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781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1">
                  <a:alpha val="50000"/>
                </a:schemeClr>
              </a:solidFill>
            </c:spPr>
          </c:marker>
          <c:xVal>
            <c:numRef>
              <c:f>'SK+2'!$F$3:$F$27</c:f>
              <c:numCache>
                <c:formatCode>General</c:formatCode>
                <c:ptCount val="25"/>
                <c:pt idx="0">
                  <c:v>-0.10506208213944719</c:v>
                </c:pt>
                <c:pt idx="1">
                  <c:v>-0.18338108882521509</c:v>
                </c:pt>
                <c:pt idx="2">
                  <c:v>9.742120343839572E-2</c:v>
                </c:pt>
                <c:pt idx="3">
                  <c:v>0.27507163323782263</c:v>
                </c:pt>
                <c:pt idx="4">
                  <c:v>-0.21585482330468089</c:v>
                </c:pt>
                <c:pt idx="5">
                  <c:v>-0.36867239732569174</c:v>
                </c:pt>
                <c:pt idx="6">
                  <c:v>-0.20248328557784123</c:v>
                </c:pt>
                <c:pt idx="7">
                  <c:v>-2.1012416427887742E-2</c:v>
                </c:pt>
                <c:pt idx="8">
                  <c:v>8.9780324737345943E-2</c:v>
                </c:pt>
                <c:pt idx="9">
                  <c:v>4.5845272206303772E-2</c:v>
                </c:pt>
                <c:pt idx="10">
                  <c:v>8.0229226361031178E-2</c:v>
                </c:pt>
                <c:pt idx="11">
                  <c:v>0.30372492836676185</c:v>
                </c:pt>
                <c:pt idx="12">
                  <c:v>0.48328557784145032</c:v>
                </c:pt>
                <c:pt idx="13">
                  <c:v>0.57115568290353291</c:v>
                </c:pt>
                <c:pt idx="14">
                  <c:v>0.7277936962750704</c:v>
                </c:pt>
              </c:numCache>
            </c:numRef>
          </c:xVal>
          <c:yVal>
            <c:numRef>
              <c:f>'SK+2'!$G$3:$G$27</c:f>
              <c:numCache>
                <c:formatCode>General</c:formatCode>
                <c:ptCount val="25"/>
                <c:pt idx="0">
                  <c:v>-0.94364851957975171</c:v>
                </c:pt>
                <c:pt idx="1">
                  <c:v>-0.58834765998089755</c:v>
                </c:pt>
                <c:pt idx="2">
                  <c:v>-0.53104106972301823</c:v>
                </c:pt>
                <c:pt idx="3">
                  <c:v>-0.29608404966571161</c:v>
                </c:pt>
                <c:pt idx="4">
                  <c:v>0.48328557784145204</c:v>
                </c:pt>
                <c:pt idx="5">
                  <c:v>-0.48710601719197688</c:v>
                </c:pt>
                <c:pt idx="6">
                  <c:v>1.5281757402101257E-2</c:v>
                </c:pt>
                <c:pt idx="7">
                  <c:v>-0.16427889207258892</c:v>
                </c:pt>
                <c:pt idx="8">
                  <c:v>-6.3037249283666622E-2</c:v>
                </c:pt>
                <c:pt idx="9">
                  <c:v>-6.3037249283666622E-2</c:v>
                </c:pt>
                <c:pt idx="10">
                  <c:v>-0.70869149952244592</c:v>
                </c:pt>
                <c:pt idx="11">
                  <c:v>-0.60936007640878698</c:v>
                </c:pt>
                <c:pt idx="12">
                  <c:v>-0.32855778414517617</c:v>
                </c:pt>
                <c:pt idx="13">
                  <c:v>-9.5510983763132426E-2</c:v>
                </c:pt>
                <c:pt idx="14">
                  <c:v>-0.16236867239732564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80928"/>
        <c:axId val="46383104"/>
      </c:scatterChart>
      <c:valAx>
        <c:axId val="46380928"/>
        <c:scaling>
          <c:orientation val="minMax"/>
          <c:min val="-1.5"/>
        </c:scaling>
        <c:delete val="0"/>
        <c:axPos val="b"/>
        <c:numFmt formatCode="General" sourceLinked="1"/>
        <c:majorTickMark val="out"/>
        <c:minorTickMark val="none"/>
        <c:tickLblPos val="nextTo"/>
        <c:crossAx val="46383104"/>
        <c:crosses val="autoZero"/>
        <c:crossBetween val="midCat"/>
      </c:valAx>
      <c:valAx>
        <c:axId val="46383104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80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1">
                  <a:alpha val="50000"/>
                </a:schemeClr>
              </a:solidFill>
            </c:spPr>
          </c:marker>
          <c:xVal>
            <c:numRef>
              <c:f>Aguila!$F$3:$F$27</c:f>
              <c:numCache>
                <c:formatCode>General</c:formatCode>
                <c:ptCount val="25"/>
                <c:pt idx="0">
                  <c:v>-0.33619866284622596</c:v>
                </c:pt>
                <c:pt idx="1">
                  <c:v>-0.26743075453677112</c:v>
                </c:pt>
                <c:pt idx="2">
                  <c:v>-0.78510028653295061</c:v>
                </c:pt>
                <c:pt idx="3">
                  <c:v>-0.4851957975167136</c:v>
                </c:pt>
                <c:pt idx="4">
                  <c:v>0.16618911174785223</c:v>
                </c:pt>
                <c:pt idx="5">
                  <c:v>-0.90735434574976148</c:v>
                </c:pt>
                <c:pt idx="6">
                  <c:v>0.2597898758357205</c:v>
                </c:pt>
                <c:pt idx="7">
                  <c:v>0.12798471824259738</c:v>
                </c:pt>
                <c:pt idx="8">
                  <c:v>0.44317096466093558</c:v>
                </c:pt>
                <c:pt idx="9">
                  <c:v>0.37822349570200564</c:v>
                </c:pt>
                <c:pt idx="10">
                  <c:v>0.33810888252148924</c:v>
                </c:pt>
                <c:pt idx="11">
                  <c:v>-0.38013371537726809</c:v>
                </c:pt>
                <c:pt idx="12">
                  <c:v>0.57115568290353469</c:v>
                </c:pt>
                <c:pt idx="13">
                  <c:v>0.63610315186246458</c:v>
                </c:pt>
                <c:pt idx="14">
                  <c:v>0.20439350525310451</c:v>
                </c:pt>
                <c:pt idx="15">
                  <c:v>0.1757402101241636</c:v>
                </c:pt>
                <c:pt idx="16">
                  <c:v>0.97421203438395376</c:v>
                </c:pt>
                <c:pt idx="17">
                  <c:v>0.50811843361986631</c:v>
                </c:pt>
                <c:pt idx="18">
                  <c:v>0.29035339063992299</c:v>
                </c:pt>
                <c:pt idx="19">
                  <c:v>0.25787965616045805</c:v>
                </c:pt>
                <c:pt idx="20">
                  <c:v>-0.89398280802292263</c:v>
                </c:pt>
                <c:pt idx="21">
                  <c:v>-0.5768863419293212</c:v>
                </c:pt>
                <c:pt idx="22">
                  <c:v>-0.52722063037249245</c:v>
                </c:pt>
                <c:pt idx="23">
                  <c:v>-0.1432664756446978</c:v>
                </c:pt>
                <c:pt idx="24">
                  <c:v>8.9780324737345943E-2</c:v>
                </c:pt>
              </c:numCache>
            </c:numRef>
          </c:xVal>
          <c:yVal>
            <c:numRef>
              <c:f>Aguila!$G$3:$G$27</c:f>
              <c:numCache>
                <c:formatCode>General</c:formatCode>
                <c:ptCount val="25"/>
                <c:pt idx="0">
                  <c:v>1.3390639923591219</c:v>
                </c:pt>
                <c:pt idx="1">
                  <c:v>0.65520534861509117</c:v>
                </c:pt>
                <c:pt idx="2">
                  <c:v>0.12225405921681005</c:v>
                </c:pt>
                <c:pt idx="3">
                  <c:v>0.25596943648519604</c:v>
                </c:pt>
                <c:pt idx="4">
                  <c:v>-0.1451766953199615</c:v>
                </c:pt>
                <c:pt idx="5">
                  <c:v>0.24068767908309521</c:v>
                </c:pt>
                <c:pt idx="6">
                  <c:v>-0.97612225405921538</c:v>
                </c:pt>
                <c:pt idx="7">
                  <c:v>0.37440305635148163</c:v>
                </c:pt>
                <c:pt idx="8">
                  <c:v>0.29226361031518716</c:v>
                </c:pt>
                <c:pt idx="9">
                  <c:v>1.4594078319006691</c:v>
                </c:pt>
                <c:pt idx="10">
                  <c:v>-0.94555873925501455</c:v>
                </c:pt>
                <c:pt idx="11">
                  <c:v>0.22158548233046738</c:v>
                </c:pt>
                <c:pt idx="12">
                  <c:v>5.5396370582616844E-2</c:v>
                </c:pt>
                <c:pt idx="13">
                  <c:v>0.15472779369627584</c:v>
                </c:pt>
                <c:pt idx="14">
                  <c:v>0.67239732569245525</c:v>
                </c:pt>
                <c:pt idx="15">
                  <c:v>0.82903533906399107</c:v>
                </c:pt>
                <c:pt idx="16">
                  <c:v>0.29608404966571034</c:v>
                </c:pt>
                <c:pt idx="17">
                  <c:v>0.59598853868194734</c:v>
                </c:pt>
                <c:pt idx="18">
                  <c:v>0.54441260744985709</c:v>
                </c:pt>
                <c:pt idx="19">
                  <c:v>0.74498567335243671</c:v>
                </c:pt>
                <c:pt idx="20">
                  <c:v>-0.65902578796561728</c:v>
                </c:pt>
                <c:pt idx="21">
                  <c:v>-5.7306590257880138E-2</c:v>
                </c:pt>
                <c:pt idx="22">
                  <c:v>-2.4832855778416027E-2</c:v>
                </c:pt>
                <c:pt idx="23">
                  <c:v>0.64183381088825275</c:v>
                </c:pt>
                <c:pt idx="24">
                  <c:v>0.85959885386819357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32384"/>
        <c:axId val="247230848"/>
      </c:scatterChart>
      <c:valAx>
        <c:axId val="2472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7230848"/>
        <c:crosses val="autoZero"/>
        <c:crossBetween val="midCat"/>
      </c:valAx>
      <c:valAx>
        <c:axId val="247230848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23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5"/>
            <c:spPr>
              <a:solidFill>
                <a:schemeClr val="accent1">
                  <a:alpha val="50000"/>
                </a:schemeClr>
              </a:solidFill>
            </c:spPr>
          </c:marker>
          <c:xVal>
            <c:numRef>
              <c:f>'SK+Combined'!$E$3:$E$37</c:f>
              <c:numCache>
                <c:formatCode>General</c:formatCode>
                <c:ptCount val="35"/>
                <c:pt idx="0">
                  <c:v>0.77175064244135949</c:v>
                </c:pt>
                <c:pt idx="1">
                  <c:v>0.50720254987871849</c:v>
                </c:pt>
                <c:pt idx="2">
                  <c:v>0.42510141770410592</c:v>
                </c:pt>
                <c:pt idx="3">
                  <c:v>0.58930368205333106</c:v>
                </c:pt>
                <c:pt idx="4">
                  <c:v>0.47436209700887294</c:v>
                </c:pt>
                <c:pt idx="5">
                  <c:v>0.25542574454324057</c:v>
                </c:pt>
                <c:pt idx="6">
                  <c:v>0.92683055877118337</c:v>
                </c:pt>
                <c:pt idx="7">
                  <c:v>0.68782504066286765</c:v>
                </c:pt>
                <c:pt idx="8">
                  <c:v>0.36306945117217748</c:v>
                </c:pt>
                <c:pt idx="9">
                  <c:v>0.30468642384800837</c:v>
                </c:pt>
                <c:pt idx="10">
                  <c:v>0.81736238253836624</c:v>
                </c:pt>
                <c:pt idx="11">
                  <c:v>0.91588374114790116</c:v>
                </c:pt>
                <c:pt idx="12">
                  <c:v>0.59295262126109116</c:v>
                </c:pt>
                <c:pt idx="13">
                  <c:v>0.32840452869845027</c:v>
                </c:pt>
                <c:pt idx="14">
                  <c:v>4.5611740097006893E-2</c:v>
                </c:pt>
                <c:pt idx="15">
                  <c:v>0.17697355157638653</c:v>
                </c:pt>
                <c:pt idx="16">
                  <c:v>-4.743620970088859E-2</c:v>
                </c:pt>
                <c:pt idx="17">
                  <c:v>0.19339377801130969</c:v>
                </c:pt>
                <c:pt idx="18">
                  <c:v>0.37584073839933724</c:v>
                </c:pt>
                <c:pt idx="19">
                  <c:v>0.27549491018592226</c:v>
                </c:pt>
                <c:pt idx="20">
                  <c:v>-0.10034582821341662</c:v>
                </c:pt>
                <c:pt idx="21">
                  <c:v>-0.17514908197250725</c:v>
                </c:pt>
                <c:pt idx="22">
                  <c:v>9.3047949797894672E-2</c:v>
                </c:pt>
                <c:pt idx="23">
                  <c:v>0.26272362295876089</c:v>
                </c:pt>
                <c:pt idx="24">
                  <c:v>-0.20616506523847269</c:v>
                </c:pt>
                <c:pt idx="25">
                  <c:v>-0.35212263354889378</c:v>
                </c:pt>
                <c:pt idx="26">
                  <c:v>-0.19339377801130969</c:v>
                </c:pt>
                <c:pt idx="27">
                  <c:v>-2.0069165642681703E-2</c:v>
                </c:pt>
                <c:pt idx="28">
                  <c:v>8.5750071382374352E-2</c:v>
                </c:pt>
                <c:pt idx="29">
                  <c:v>4.3787270493126813E-2</c:v>
                </c:pt>
                <c:pt idx="30">
                  <c:v>7.6627723362971523E-2</c:v>
                </c:pt>
                <c:pt idx="31">
                  <c:v>0.29009066701696451</c:v>
                </c:pt>
                <c:pt idx="32">
                  <c:v>0.46159080978170997</c:v>
                </c:pt>
                <c:pt idx="33">
                  <c:v>0.54551641156020336</c:v>
                </c:pt>
                <c:pt idx="34">
                  <c:v>0.6951229190783863</c:v>
                </c:pt>
              </c:numCache>
            </c:numRef>
          </c:xVal>
          <c:yVal>
            <c:numRef>
              <c:f>'SK+Combined'!$F$3:$F$37</c:f>
              <c:numCache>
                <c:formatCode>General</c:formatCode>
                <c:ptCount val="35"/>
                <c:pt idx="0">
                  <c:v>-0.27731937978980153</c:v>
                </c:pt>
                <c:pt idx="1">
                  <c:v>8.0276662570733293E-2</c:v>
                </c:pt>
                <c:pt idx="2">
                  <c:v>-4.378727049312519E-2</c:v>
                </c:pt>
                <c:pt idx="3">
                  <c:v>-1.0946817623280487E-2</c:v>
                </c:pt>
                <c:pt idx="4">
                  <c:v>4.743620970088859E-2</c:v>
                </c:pt>
                <c:pt idx="5">
                  <c:v>0.4688886881972319</c:v>
                </c:pt>
                <c:pt idx="6">
                  <c:v>-3.6489392077601627E-3</c:v>
                </c:pt>
                <c:pt idx="7">
                  <c:v>-9.4872419401773947E-2</c:v>
                </c:pt>
                <c:pt idx="8">
                  <c:v>-0.23718104850443647</c:v>
                </c:pt>
                <c:pt idx="9">
                  <c:v>-0.21163847405011213</c:v>
                </c:pt>
                <c:pt idx="10">
                  <c:v>0.45246846176231198</c:v>
                </c:pt>
                <c:pt idx="11">
                  <c:v>-0.18609589959578773</c:v>
                </c:pt>
                <c:pt idx="12">
                  <c:v>-0.37766520800321651</c:v>
                </c:pt>
                <c:pt idx="13">
                  <c:v>-0.28644172780920274</c:v>
                </c:pt>
                <c:pt idx="14">
                  <c:v>0.22076082206951494</c:v>
                </c:pt>
                <c:pt idx="15">
                  <c:v>4.1962800889245921E-2</c:v>
                </c:pt>
                <c:pt idx="16">
                  <c:v>0.16602673395310766</c:v>
                </c:pt>
                <c:pt idx="17">
                  <c:v>0.48165997542439659</c:v>
                </c:pt>
                <c:pt idx="18">
                  <c:v>0.65498458779302127</c:v>
                </c:pt>
                <c:pt idx="19">
                  <c:v>0.71336761511719027</c:v>
                </c:pt>
                <c:pt idx="20">
                  <c:v>-0.90128798431685941</c:v>
                </c:pt>
                <c:pt idx="21">
                  <c:v>-0.56193663799512661</c:v>
                </c:pt>
                <c:pt idx="22">
                  <c:v>-0.50720254987871849</c:v>
                </c:pt>
                <c:pt idx="23">
                  <c:v>-0.2827927886014438</c:v>
                </c:pt>
                <c:pt idx="24">
                  <c:v>0.46159080978171163</c:v>
                </c:pt>
                <c:pt idx="25">
                  <c:v>-0.46523974898947174</c:v>
                </c:pt>
                <c:pt idx="26">
                  <c:v>1.4595756831042271E-2</c:v>
                </c:pt>
                <c:pt idx="27">
                  <c:v>-0.15690438593370482</c:v>
                </c:pt>
                <c:pt idx="28">
                  <c:v>-6.0207496928048353E-2</c:v>
                </c:pt>
                <c:pt idx="29">
                  <c:v>-6.0207496928048353E-2</c:v>
                </c:pt>
                <c:pt idx="30">
                  <c:v>-0.67687822303958545</c:v>
                </c:pt>
                <c:pt idx="31">
                  <c:v>-0.58200580363780996</c:v>
                </c:pt>
                <c:pt idx="32">
                  <c:v>-0.31380877186740802</c:v>
                </c:pt>
                <c:pt idx="33">
                  <c:v>-9.1223480194013787E-2</c:v>
                </c:pt>
                <c:pt idx="34">
                  <c:v>-0.15507991632982393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02144"/>
        <c:axId val="334500608"/>
      </c:scatterChart>
      <c:valAx>
        <c:axId val="334502144"/>
        <c:scaling>
          <c:orientation val="minMax"/>
          <c:max val="2"/>
          <c:min val="-1"/>
        </c:scaling>
        <c:delete val="0"/>
        <c:axPos val="b"/>
        <c:numFmt formatCode="General" sourceLinked="1"/>
        <c:majorTickMark val="out"/>
        <c:minorTickMark val="none"/>
        <c:tickLblPos val="nextTo"/>
        <c:crossAx val="334500608"/>
        <c:crosses val="autoZero"/>
        <c:crossBetween val="midCat"/>
      </c:valAx>
      <c:valAx>
        <c:axId val="334500608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450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225425</xdr:colOff>
      <xdr:row>4</xdr:row>
      <xdr:rowOff>31750</xdr:rowOff>
    </xdr:from>
    <xdr:to>
      <xdr:col>16</xdr:col>
      <xdr:colOff>352425</xdr:colOff>
      <xdr:row>33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225425</xdr:colOff>
      <xdr:row>4</xdr:row>
      <xdr:rowOff>31750</xdr:rowOff>
    </xdr:from>
    <xdr:to>
      <xdr:col>16</xdr:col>
      <xdr:colOff>352425</xdr:colOff>
      <xdr:row>33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225425</xdr:colOff>
      <xdr:row>4</xdr:row>
      <xdr:rowOff>31750</xdr:rowOff>
    </xdr:from>
    <xdr:to>
      <xdr:col>16</xdr:col>
      <xdr:colOff>352425</xdr:colOff>
      <xdr:row>33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225425</xdr:colOff>
      <xdr:row>4</xdr:row>
      <xdr:rowOff>31750</xdr:rowOff>
    </xdr:from>
    <xdr:to>
      <xdr:col>16</xdr:col>
      <xdr:colOff>352425</xdr:colOff>
      <xdr:row>33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225425</xdr:colOff>
      <xdr:row>4</xdr:row>
      <xdr:rowOff>31750</xdr:rowOff>
    </xdr:from>
    <xdr:to>
      <xdr:col>16</xdr:col>
      <xdr:colOff>352425</xdr:colOff>
      <xdr:row>33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4</xdr:row>
      <xdr:rowOff>127000</xdr:rowOff>
    </xdr:from>
    <xdr:to>
      <xdr:col>16</xdr:col>
      <xdr:colOff>523875</xdr:colOff>
      <xdr:row>33</xdr:row>
      <xdr:rowOff>88900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" refreshedDate="42888.595533333333" createdVersion="4" refreshedVersion="4" minRefreshableVersion="3" recordCount="30">
  <cacheSource type="worksheet">
    <worksheetSource ref="A2:I32" sheet="SK+Combined"/>
  </cacheSource>
  <cacheFields count="9">
    <cacheField name="Group" numFmtId="0">
      <sharedItems containsSemiMixedTypes="0" containsString="0" containsNumber="1" containsInteger="1" minValue="1" maxValue="3" count="3">
        <n v="1"/>
        <n v="2"/>
        <n v="3" u="1"/>
      </sharedItems>
    </cacheField>
    <cacheField name="Distance" numFmtId="0">
      <sharedItems containsSemiMixedTypes="0" containsString="0" containsNumber="1" containsInteger="1" minValue="100" maxValue="100"/>
    </cacheField>
    <cacheField name="Point X" numFmtId="0">
      <sharedItems containsSemiMixedTypes="0" containsString="0" containsNumber="1" minValue="-0.36867239732569174" maxValue="0.97039159503342898"/>
    </cacheField>
    <cacheField name="Point Y" numFmtId="0">
      <sharedItems containsSemiMixedTypes="0" containsString="0" containsNumber="1" minValue="-0.94364851957975171" maxValue="0.74689589302769821"/>
    </cacheField>
    <cacheField name="Point X2" numFmtId="0">
      <sharedItems containsSemiMixedTypes="0" containsString="0" containsNumber="1" minValue="-0.35212263354889378" maxValue="0.92683055877118337"/>
    </cacheField>
    <cacheField name="Point Y2" numFmtId="0">
      <sharedItems containsSemiMixedTypes="0" containsString="0" containsNumber="1" minValue="-0.90128798431685941" maxValue="0.71336761511719027"/>
    </cacheField>
    <cacheField name="Center X" numFmtId="0">
      <sharedItems containsSemiMixedTypes="0" containsString="0" containsNumber="1" minValue="0.10046745952034071" maxValue="0.44900196951493732"/>
    </cacheField>
    <cacheField name="Center Y" numFmtId="0">
      <sharedItems containsSemiMixedTypes="0" containsString="0" containsNumber="1" minValue="-0.2892392478684872" maxValue="7.9911768649957277E-2"/>
    </cacheField>
    <cacheField name="Radius^2" numFmtId="0">
      <sharedItems containsSemiMixedTypes="0" containsString="0" containsNumber="1" minValue="1.6977979955631048E-3" maxValue="0.657769280710965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n v="100"/>
    <n v="0.80802292263610331"/>
    <n v="-0.29035339063992216"/>
    <n v="0.77175064244135949"/>
    <n v="-0.27731937978980153"/>
    <n v="0.44900196951493732"/>
    <n v="7.9911768649957277E-2"/>
    <n v="0.23178079929135559"/>
  </r>
  <r>
    <x v="0"/>
    <n v="100"/>
    <n v="0.53104106972301823"/>
    <n v="8.4049665711557753E-2"/>
    <n v="0.50720254987871849"/>
    <n v="8.0276662570733293E-2"/>
    <n v="0.44900196951493732"/>
    <n v="7.9911768649957277E-2"/>
    <n v="3.3874407022543703E-3"/>
  </r>
  <r>
    <x v="0"/>
    <n v="100"/>
    <n v="0.44508118433619887"/>
    <n v="-4.5845272206302072E-2"/>
    <n v="0.42510141770410592"/>
    <n v="-4.378727049312519E-2"/>
    <n v="0.44900196951493732"/>
    <n v="7.9911768649957277E-2"/>
    <n v="1.5872688661784085E-2"/>
  </r>
  <r>
    <x v="0"/>
    <n v="100"/>
    <n v="0.61700095510983755"/>
    <n v="-1.146131805157467E-2"/>
    <n v="0.58930368205333106"/>
    <n v="-1.0946817623280487E-2"/>
    <n v="0.44900196951493732"/>
    <n v="7.9911768649957277E-2"/>
    <n v="2.7939853240777461E-2"/>
  </r>
  <r>
    <x v="0"/>
    <n v="100"/>
    <n v="0.49665711556828995"/>
    <n v="4.9665711556830354E-2"/>
    <n v="0.47436209700887294"/>
    <n v="4.743620970088859E-2"/>
    <n v="0.44900196951493732"/>
    <n v="7.9911768649957277E-2"/>
    <n v="1.6977979955631048E-3"/>
  </r>
  <r>
    <x v="0"/>
    <n v="100"/>
    <n v="0.26743075453677284"/>
    <n v="0.49092645654250178"/>
    <n v="0.25542574454324057"/>
    <n v="0.4688886881972319"/>
    <n v="0.44900196951493732"/>
    <n v="7.9911768649957277E-2"/>
    <n v="0.1887747988147799"/>
  </r>
  <r>
    <x v="0"/>
    <n v="100"/>
    <n v="0.97039159503342898"/>
    <n v="-3.8204393505248901E-3"/>
    <n v="0.92683055877118337"/>
    <n v="-3.6489392077601627E-3"/>
    <n v="0.44900196951493732"/>
    <n v="7.9911768649957277E-2"/>
    <n v="0.23530255260829711"/>
  </r>
  <r>
    <x v="0"/>
    <n v="100"/>
    <n v="0.72015281757402239"/>
    <n v="-9.9331423113657322E-2"/>
    <n v="0.68782504066286765"/>
    <n v="-9.4872419401773947E-2"/>
    <n v="0.44900196951493732"/>
    <n v="7.9911768649957277E-2"/>
    <n v="8.7585971705432336E-2"/>
  </r>
  <r>
    <x v="0"/>
    <n v="100"/>
    <n v="0.38013371537726981"/>
    <n v="-0.24832855778414498"/>
    <n v="0.36306945117217748"/>
    <n v="-0.23718104850443647"/>
    <n v="0.44900196951493732"/>
    <n v="7.9911768649957277E-2"/>
    <n v="0.10793225239963854"/>
  </r>
  <r>
    <x v="0"/>
    <n v="100"/>
    <n v="0.31900668576886476"/>
    <n v="-0.22158548233046738"/>
    <n v="0.30468642384800837"/>
    <n v="-0.21163847405011213"/>
    <n v="0.44900196951493732"/>
    <n v="7.9911768649957277E-2"/>
    <n v="0.10582852073961282"/>
  </r>
  <r>
    <x v="0"/>
    <n v="100"/>
    <n v="0.85577841451766945"/>
    <n v="0.47373447946514063"/>
    <n v="0.81736238253836624"/>
    <n v="0.45246846176231198"/>
    <n v="0.44900196951493732"/>
    <n v="7.9911768649957277E-2"/>
    <n v="0.27448788346560438"/>
  </r>
  <r>
    <x v="0"/>
    <n v="100"/>
    <n v="0.95893027698185251"/>
    <n v="-0.19484240687678975"/>
    <n v="0.91588374114790116"/>
    <n v="-0.18609589959578773"/>
    <n v="0.44900196951493732"/>
    <n v="7.9911768649957277E-2"/>
    <n v="0.28873866824867334"/>
  </r>
  <r>
    <x v="0"/>
    <n v="100"/>
    <n v="0.62082139446036244"/>
    <n v="-0.39541547277936767"/>
    <n v="0.59295262126109116"/>
    <n v="-0.37766520800321651"/>
    <n v="0.44900196951493732"/>
    <n v="7.9911768649957277E-2"/>
    <n v="0.23009847970120159"/>
  </r>
  <r>
    <x v="0"/>
    <n v="100"/>
    <n v="0.34383954154727742"/>
    <n v="-0.29990448901623523"/>
    <n v="0.32840452869845027"/>
    <n v="-0.28644172780920274"/>
    <n v="0.44900196951493732"/>
    <n v="7.9911768649957277E-2"/>
    <n v="0.14875862709933788"/>
  </r>
  <r>
    <x v="0"/>
    <n v="100"/>
    <n v="4.7755491881566213E-2"/>
    <n v="0.23113658070678214"/>
    <n v="4.5611740097006893E-2"/>
    <n v="0.22076082206951494"/>
    <n v="0.44900196951493732"/>
    <n v="7.9911768649957277E-2"/>
    <n v="0.18256213303903596"/>
  </r>
  <r>
    <x v="0"/>
    <n v="100"/>
    <n v="0.18529130850047668"/>
    <n v="4.3935052531040478E-2"/>
    <n v="0.17697355157638653"/>
    <n v="4.1962800889245921E-2"/>
    <n v="0.44900196951493732"/>
    <n v="7.9911768649957277E-2"/>
    <n v="7.5439584320254383E-2"/>
  </r>
  <r>
    <x v="0"/>
    <n v="100"/>
    <n v="-4.9665711556830354E-2"/>
    <n v="0.17382999044890371"/>
    <n v="-4.743620970088859E-2"/>
    <n v="0.16602673395310766"/>
    <n v="0.44900196951493732"/>
    <n v="7.9911768649957277E-2"/>
    <n v="0.25386665303228728"/>
  </r>
  <r>
    <x v="0"/>
    <n v="100"/>
    <n v="0.20248328557784123"/>
    <n v="0.50429799426934319"/>
    <n v="0.19339377801130969"/>
    <n v="0.48165997542439659"/>
    <n v="0.44900196951493732"/>
    <n v="7.9911768649957277E-2"/>
    <n v="0.22673716921023285"/>
  </r>
  <r>
    <x v="0"/>
    <n v="100"/>
    <n v="0.39350525310410606"/>
    <n v="0.68576886341929322"/>
    <n v="0.37584073839933724"/>
    <n v="0.65498458779302127"/>
    <n v="0.44900196951493732"/>
    <n v="7.9911768649957277E-2"/>
    <n v="0.33606131305550141"/>
  </r>
  <r>
    <x v="0"/>
    <n v="100"/>
    <n v="0.2884431709646606"/>
    <n v="0.74689589302769821"/>
    <n v="0.27549491018592226"/>
    <n v="0.71336761511719027"/>
    <n v="0.44900196951493732"/>
    <n v="7.9911768649957277E-2"/>
    <n v="0.43137100906052095"/>
  </r>
  <r>
    <x v="1"/>
    <n v="100"/>
    <n v="-0.10506208213944719"/>
    <n v="-0.94364851957975171"/>
    <n v="-0.10034582821341662"/>
    <n v="-0.90128798431685941"/>
    <n v="0.10046745952034071"/>
    <n v="-0.2892392478684872"/>
    <n v="0.41492963231848978"/>
  </r>
  <r>
    <x v="1"/>
    <n v="100"/>
    <n v="-0.18338108882521509"/>
    <n v="-0.58834765998089755"/>
    <n v="-0.17514908197250725"/>
    <n v="-0.56193663799512661"/>
    <n v="0.10046745952034071"/>
    <n v="-0.2892392478684872"/>
    <n v="0.15032834452635935"/>
  </r>
  <r>
    <x v="1"/>
    <n v="100"/>
    <n v="9.742120343839572E-2"/>
    <n v="-0.53104106972301823"/>
    <n v="9.3047949797894672E-2"/>
    <n v="-0.50720254987871849"/>
    <n v="0.10046745952034071"/>
    <n v="-0.2892392478684872"/>
    <n v="4.7563050147724766E-2"/>
  </r>
  <r>
    <x v="1"/>
    <n v="100"/>
    <n v="0.27507163323782263"/>
    <n v="-0.29608404966571161"/>
    <n v="0.26272362295876089"/>
    <n v="-0.2827927886014438"/>
    <n v="0.10046745952034071"/>
    <n v="-0.2892392478684872"/>
    <n v="2.6368619410836975E-2"/>
  </r>
  <r>
    <x v="1"/>
    <n v="100"/>
    <n v="-0.21585482330468089"/>
    <n v="0.48328557784145204"/>
    <n v="-0.20616506523847269"/>
    <n v="0.46159080978171163"/>
    <n v="0.10046745952034071"/>
    <n v="-0.2892392478684872"/>
    <n v="0.65776928071096519"/>
  </r>
  <r>
    <x v="1"/>
    <n v="100"/>
    <n v="-0.36867239732569174"/>
    <n v="-0.48710601719197688"/>
    <n v="-0.35212263354889378"/>
    <n v="-0.46523974898947174"/>
    <n v="0.10046745952034071"/>
    <n v="-0.2892392478684872"/>
    <n v="0.235813968739256"/>
  </r>
  <r>
    <x v="1"/>
    <n v="100"/>
    <n v="-0.20248328557784123"/>
    <n v="1.5281757402101257E-2"/>
    <n v="-0.19339377801130969"/>
    <n v="1.4595756831042271E-2"/>
    <n v="0.10046745952034071"/>
    <n v="-0.2892392478684872"/>
    <n v="0.17867013700439616"/>
  </r>
  <r>
    <x v="1"/>
    <n v="100"/>
    <n v="-2.1012416427887742E-2"/>
    <n v="-0.16427889207258892"/>
    <n v="-2.0069165642681703E-2"/>
    <n v="-0.15690438593370482"/>
    <n v="0.10046745952034071"/>
    <n v="-0.2892392478684872"/>
    <n v="3.2041593688988887E-2"/>
  </r>
  <r>
    <x v="1"/>
    <n v="100"/>
    <n v="8.9780324737345943E-2"/>
    <n v="-6.3037249283666622E-2"/>
    <n v="8.5750071382374352E-2"/>
    <n v="-6.0207496928048353E-2"/>
    <n v="0.10046745952034071"/>
    <n v="-0.2892392478684872"/>
    <n v="5.2672144452446765E-2"/>
  </r>
  <r>
    <x v="1"/>
    <n v="100"/>
    <n v="4.5845272206303772E-2"/>
    <n v="-6.3037249283666622E-2"/>
    <n v="4.3787270493126813E-2"/>
    <n v="-6.0207496928048353E-2"/>
    <n v="0.10046745952034071"/>
    <n v="-0.2892392478684872"/>
    <n v="5.5668186767003913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O1:Q4" firstHeaderRow="0" firstDataRow="1" firstDataCol="1"/>
  <pivotFields count="9">
    <pivotField axis="axisRow" dataField="1" compact="0" outline="0" showAll="0" defaultSubtotal="0">
      <items count="3">
        <item x="0"/>
        <item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Radius^2" fld="8" baseField="0" baseItem="0" numFmtId="2"/>
    <dataField name="Count of Group" fld="0" subtotal="count" baseField="2" baseItem="0"/>
  </dataFields>
  <formats count="9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grandRow="1" outline="0" collapsedLevelsAreSubtotals="1" fieldPosition="0"/>
    </format>
    <format dxfId="4">
      <pivotArea dataOnly="0" labelOnly="1" grandRow="1" outline="0" fieldPosition="0"/>
    </format>
    <format dxfId="5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8.26953125" style="27" bestFit="1" customWidth="1"/>
    <col min="2" max="3" width="13.26953125" style="31" customWidth="1"/>
    <col min="4" max="5" width="8.7265625" style="75"/>
    <col min="6" max="6" width="8.7265625" style="43"/>
    <col min="7" max="9" width="8.7265625" style="75"/>
    <col min="10" max="10" width="8.7265625" style="27"/>
    <col min="11" max="11" width="8.7265625" style="75"/>
    <col min="12" max="12" width="18.36328125" style="75" bestFit="1" customWidth="1"/>
    <col min="13" max="14" width="7.26953125" style="1" customWidth="1"/>
    <col min="15" max="15" width="11.08984375" style="75" customWidth="1"/>
    <col min="16" max="16" width="10.90625" style="75" customWidth="1"/>
    <col min="17" max="17" width="11.54296875" style="9" customWidth="1"/>
    <col min="18" max="19" width="8.7265625" style="1"/>
    <col min="20" max="16384" width="8.7265625" style="75"/>
  </cols>
  <sheetData>
    <row r="1" spans="1:23" ht="13.5" thickBot="1" x14ac:dyDescent="0.35">
      <c r="A1" s="59" t="s">
        <v>21</v>
      </c>
      <c r="B1" s="63" t="s">
        <v>16</v>
      </c>
      <c r="C1" s="61"/>
      <c r="D1" s="61" t="s">
        <v>15</v>
      </c>
      <c r="E1" s="62"/>
      <c r="F1" s="63" t="s">
        <v>14</v>
      </c>
      <c r="G1" s="61"/>
      <c r="H1" s="61"/>
      <c r="I1" s="61"/>
      <c r="J1" s="62"/>
      <c r="L1" s="55" t="s">
        <v>24</v>
      </c>
      <c r="M1" s="56">
        <f>ROUND(10*M3,0)</f>
        <v>4</v>
      </c>
      <c r="N1" s="75"/>
      <c r="O1" s="39" t="s">
        <v>7</v>
      </c>
      <c r="P1" s="37" t="s">
        <v>13</v>
      </c>
      <c r="Q1" s="38" t="s">
        <v>8</v>
      </c>
      <c r="R1" s="38" t="s">
        <v>9</v>
      </c>
      <c r="S1" s="38" t="s">
        <v>10</v>
      </c>
      <c r="T1" s="48" t="s">
        <v>12</v>
      </c>
      <c r="U1" s="49">
        <v>0.8</v>
      </c>
      <c r="V1" s="33"/>
    </row>
    <row r="2" spans="1:23" ht="13" x14ac:dyDescent="0.3">
      <c r="A2" s="29" t="s">
        <v>22</v>
      </c>
      <c r="B2" s="25" t="s">
        <v>17</v>
      </c>
      <c r="C2" s="25" t="s">
        <v>18</v>
      </c>
      <c r="D2" s="25" t="s">
        <v>19</v>
      </c>
      <c r="E2" s="25" t="s">
        <v>20</v>
      </c>
      <c r="F2" s="26" t="s">
        <v>2</v>
      </c>
      <c r="G2" s="26" t="s">
        <v>1</v>
      </c>
      <c r="H2" s="26" t="s">
        <v>4</v>
      </c>
      <c r="I2" s="26" t="s">
        <v>3</v>
      </c>
      <c r="J2" s="28" t="s">
        <v>0</v>
      </c>
      <c r="L2" s="53" t="s">
        <v>23</v>
      </c>
      <c r="M2" s="54">
        <f>S2*SQRT(Q2*O2/(2*P2-2))</f>
        <v>0.32600571447174387</v>
      </c>
      <c r="N2" s="75"/>
      <c r="O2" s="75">
        <f>SUM(J:J)</f>
        <v>3.7865516521028377</v>
      </c>
      <c r="P2" s="75">
        <f>COUNT(J:J)</f>
        <v>20</v>
      </c>
      <c r="Q2" s="46">
        <f t="shared" ref="Q2" si="0">P2/(P2-1)</f>
        <v>1.0526315789473684</v>
      </c>
      <c r="R2" s="46">
        <f t="shared" ref="R2" si="1">2*P2-1</f>
        <v>39</v>
      </c>
      <c r="S2" s="46">
        <f t="shared" ref="S2" si="2">1/EXP(LN(SQRT(2/(R2-1))) + GAMMALN(R2/2) - GAMMALN((R2-1)/2))</f>
        <v>1.006599872458809</v>
      </c>
      <c r="T2" s="47">
        <f>SQRT(O2/CHIINV((1-U1)/2,2*P2-2))</f>
        <v>0.2765439519846184</v>
      </c>
      <c r="U2" s="24">
        <f>SQRT(O2/CHIINV(0.5+U1/2,2*P2-2))</f>
        <v>0.37213392038220838</v>
      </c>
      <c r="W2" s="41"/>
    </row>
    <row r="3" spans="1:23" x14ac:dyDescent="0.25">
      <c r="A3" s="75">
        <v>50</v>
      </c>
      <c r="B3" s="76">
        <v>2.7170000000000001</v>
      </c>
      <c r="C3" s="76">
        <v>5.0039999999999996</v>
      </c>
      <c r="D3" s="77">
        <v>3.14</v>
      </c>
      <c r="E3" s="77">
        <v>4.8520000000000003</v>
      </c>
      <c r="F3" s="43">
        <f>(D3-B3)/(0.01047*$A3)</f>
        <v>0.80802292263610331</v>
      </c>
      <c r="G3" s="43">
        <f>(E3-C3)/(0.01047*$A3)</f>
        <v>-0.29035339063992216</v>
      </c>
      <c r="H3" s="43">
        <f>AVERAGE(F:F)</f>
        <v>0.47010506208213948</v>
      </c>
      <c r="I3" s="43">
        <f>AVERAGE(G:G)</f>
        <v>8.366762177650526E-2</v>
      </c>
      <c r="J3" s="44">
        <f>POWER(F3-H3,2)+POWER(G3-I3,2)</f>
        <v>0.25408019821037753</v>
      </c>
      <c r="L3" s="57" t="s">
        <v>25</v>
      </c>
      <c r="M3" s="58">
        <f>SQRT(O2/CHIINV(0.9,2*P2-2))</f>
        <v>0.37213392038220838</v>
      </c>
      <c r="N3" s="52"/>
    </row>
    <row r="4" spans="1:23" ht="13" x14ac:dyDescent="0.3">
      <c r="A4" s="75">
        <v>50</v>
      </c>
      <c r="B4" s="76">
        <v>2.7170000000000001</v>
      </c>
      <c r="C4" s="76">
        <v>5.0039999999999996</v>
      </c>
      <c r="D4" s="77">
        <v>2.9950000000000001</v>
      </c>
      <c r="E4" s="77">
        <v>5.048</v>
      </c>
      <c r="F4" s="43">
        <f t="shared" ref="F4:G32" si="3">(D4-B4)/(0.01047*$A4)</f>
        <v>0.53104106972301823</v>
      </c>
      <c r="G4" s="43">
        <f t="shared" si="3"/>
        <v>8.4049665711557753E-2</v>
      </c>
      <c r="H4" s="43">
        <f t="shared" ref="H4:I32" si="4">AVERAGE(F:F)</f>
        <v>0.47010506208213948</v>
      </c>
      <c r="I4" s="43">
        <f t="shared" si="4"/>
        <v>8.366762177650526E-2</v>
      </c>
      <c r="J4" s="44">
        <f t="shared" ref="J4:J32" si="5">POWER(F4-H4,2)+POWER(G4-I4,2)</f>
        <v>3.7133429847775439E-3</v>
      </c>
      <c r="L4" s="69" t="s">
        <v>37</v>
      </c>
      <c r="M4" s="75"/>
      <c r="N4" s="71"/>
      <c r="O4" s="70"/>
    </row>
    <row r="5" spans="1:23" x14ac:dyDescent="0.25">
      <c r="A5" s="75">
        <v>50</v>
      </c>
      <c r="B5" s="76">
        <v>2.7170000000000001</v>
      </c>
      <c r="C5" s="76">
        <v>5.0039999999999996</v>
      </c>
      <c r="D5" s="77">
        <v>2.95</v>
      </c>
      <c r="E5" s="77">
        <v>4.9800000000000004</v>
      </c>
      <c r="F5" s="43">
        <f t="shared" si="3"/>
        <v>0.44508118433619887</v>
      </c>
      <c r="G5" s="43">
        <f t="shared" si="3"/>
        <v>-4.5845272206302072E-2</v>
      </c>
      <c r="H5" s="43">
        <f t="shared" si="4"/>
        <v>0.47010506208213948</v>
      </c>
      <c r="I5" s="43">
        <f t="shared" si="4"/>
        <v>8.366762177650526E-2</v>
      </c>
      <c r="J5" s="44">
        <f t="shared" si="5"/>
        <v>1.7399784165245669E-2</v>
      </c>
    </row>
    <row r="6" spans="1:23" x14ac:dyDescent="0.25">
      <c r="A6" s="75">
        <v>50</v>
      </c>
      <c r="B6" s="76">
        <v>2.7170000000000001</v>
      </c>
      <c r="C6" s="76">
        <v>5.0039999999999996</v>
      </c>
      <c r="D6" s="77">
        <v>3.04</v>
      </c>
      <c r="E6" s="77">
        <v>4.9980000000000002</v>
      </c>
      <c r="F6" s="43">
        <f t="shared" si="3"/>
        <v>0.61700095510983755</v>
      </c>
      <c r="G6" s="43">
        <f t="shared" si="3"/>
        <v>-1.146131805157467E-2</v>
      </c>
      <c r="H6" s="43">
        <f t="shared" si="4"/>
        <v>0.47010506208213948</v>
      </c>
      <c r="I6" s="43">
        <f t="shared" si="4"/>
        <v>8.366762177650526E-2</v>
      </c>
      <c r="J6" s="44">
        <f t="shared" si="5"/>
        <v>3.0627918581219365E-2</v>
      </c>
    </row>
    <row r="7" spans="1:23" x14ac:dyDescent="0.25">
      <c r="A7" s="75">
        <v>50</v>
      </c>
      <c r="B7" s="76">
        <v>2.7170000000000001</v>
      </c>
      <c r="C7" s="76">
        <v>5.0039999999999996</v>
      </c>
      <c r="D7" s="77">
        <v>2.9769999999999999</v>
      </c>
      <c r="E7" s="77">
        <v>5.03</v>
      </c>
      <c r="F7" s="43">
        <f t="shared" si="3"/>
        <v>0.49665711556828995</v>
      </c>
      <c r="G7" s="43">
        <f t="shared" si="3"/>
        <v>4.9665711556830354E-2</v>
      </c>
      <c r="H7" s="43">
        <f t="shared" si="4"/>
        <v>0.47010506208213948</v>
      </c>
      <c r="I7" s="43">
        <f t="shared" si="4"/>
        <v>8.366762177650526E-2</v>
      </c>
      <c r="J7" s="44">
        <f t="shared" si="5"/>
        <v>1.8611414429182283E-3</v>
      </c>
    </row>
    <row r="8" spans="1:23" x14ac:dyDescent="0.25">
      <c r="A8" s="75">
        <v>50</v>
      </c>
      <c r="B8" s="76">
        <v>5.7729999999999997</v>
      </c>
      <c r="C8" s="76">
        <v>5</v>
      </c>
      <c r="D8" s="77">
        <v>5.9130000000000003</v>
      </c>
      <c r="E8" s="77">
        <v>5.2569999999999997</v>
      </c>
      <c r="F8" s="43">
        <f t="shared" si="3"/>
        <v>0.26743075453677284</v>
      </c>
      <c r="G8" s="43">
        <f t="shared" si="3"/>
        <v>0.49092645654250178</v>
      </c>
      <c r="H8" s="43">
        <f t="shared" si="4"/>
        <v>0.47010506208213948</v>
      </c>
      <c r="I8" s="43">
        <f t="shared" si="4"/>
        <v>8.366762177650526E-2</v>
      </c>
      <c r="J8" s="44">
        <f t="shared" si="5"/>
        <v>0.20693663343395111</v>
      </c>
    </row>
    <row r="9" spans="1:23" x14ac:dyDescent="0.25">
      <c r="A9" s="75">
        <v>50</v>
      </c>
      <c r="B9" s="76">
        <v>5.7729999999999997</v>
      </c>
      <c r="C9" s="76">
        <v>5</v>
      </c>
      <c r="D9" s="77">
        <v>6.2809999999999997</v>
      </c>
      <c r="E9" s="77">
        <v>4.9980000000000002</v>
      </c>
      <c r="F9" s="43">
        <f t="shared" si="3"/>
        <v>0.97039159503342898</v>
      </c>
      <c r="G9" s="43">
        <f t="shared" si="3"/>
        <v>-3.8204393505248901E-3</v>
      </c>
      <c r="H9" s="43">
        <f t="shared" si="4"/>
        <v>0.47010506208213948</v>
      </c>
      <c r="I9" s="43">
        <f t="shared" si="4"/>
        <v>8.366762177650526E-2</v>
      </c>
      <c r="J9" s="44">
        <f t="shared" si="5"/>
        <v>0.25794077589218867</v>
      </c>
    </row>
    <row r="10" spans="1:23" x14ac:dyDescent="0.25">
      <c r="A10" s="75">
        <v>50</v>
      </c>
      <c r="B10" s="76">
        <v>5.7729999999999997</v>
      </c>
      <c r="C10" s="76">
        <v>5</v>
      </c>
      <c r="D10" s="77">
        <v>6.15</v>
      </c>
      <c r="E10" s="77">
        <v>4.9480000000000004</v>
      </c>
      <c r="F10" s="43">
        <f t="shared" si="3"/>
        <v>0.72015281757402239</v>
      </c>
      <c r="G10" s="43">
        <f t="shared" si="3"/>
        <v>-9.9331423113657322E-2</v>
      </c>
      <c r="H10" s="43">
        <f t="shared" si="4"/>
        <v>0.47010506208213948</v>
      </c>
      <c r="I10" s="43">
        <f t="shared" si="4"/>
        <v>8.366762177650526E-2</v>
      </c>
      <c r="J10" s="44">
        <f t="shared" si="5"/>
        <v>9.6012530457240203E-2</v>
      </c>
    </row>
    <row r="11" spans="1:23" x14ac:dyDescent="0.25">
      <c r="A11" s="75">
        <v>50</v>
      </c>
      <c r="B11" s="76">
        <v>5.7729999999999997</v>
      </c>
      <c r="C11" s="76">
        <v>5</v>
      </c>
      <c r="D11" s="77">
        <v>5.9720000000000004</v>
      </c>
      <c r="E11" s="77">
        <v>4.87</v>
      </c>
      <c r="F11" s="43">
        <f t="shared" si="3"/>
        <v>0.38013371537726981</v>
      </c>
      <c r="G11" s="43">
        <f t="shared" si="3"/>
        <v>-0.24832855778414498</v>
      </c>
      <c r="H11" s="43">
        <f t="shared" si="4"/>
        <v>0.47010506208213948</v>
      </c>
      <c r="I11" s="43">
        <f t="shared" si="4"/>
        <v>8.366762177650526E-2</v>
      </c>
      <c r="J11" s="44">
        <f t="shared" si="5"/>
        <v>0.11831630647075539</v>
      </c>
    </row>
    <row r="12" spans="1:23" x14ac:dyDescent="0.25">
      <c r="A12" s="75">
        <v>50</v>
      </c>
      <c r="B12" s="76">
        <v>5.7729999999999997</v>
      </c>
      <c r="C12" s="76">
        <v>5</v>
      </c>
      <c r="D12" s="77">
        <v>5.94</v>
      </c>
      <c r="E12" s="77">
        <v>4.8840000000000003</v>
      </c>
      <c r="F12" s="43">
        <f t="shared" si="3"/>
        <v>0.31900668576886476</v>
      </c>
      <c r="G12" s="43">
        <f t="shared" si="3"/>
        <v>-0.22158548233046738</v>
      </c>
      <c r="H12" s="43">
        <f t="shared" si="4"/>
        <v>0.47010506208213948</v>
      </c>
      <c r="I12" s="43">
        <f t="shared" si="4"/>
        <v>8.366762177650526E-2</v>
      </c>
      <c r="J12" s="44">
        <f t="shared" si="5"/>
        <v>0.11601017689145025</v>
      </c>
    </row>
    <row r="13" spans="1:23" x14ac:dyDescent="0.25">
      <c r="A13" s="75">
        <v>50</v>
      </c>
      <c r="B13" s="76">
        <v>2.72</v>
      </c>
      <c r="C13" s="76">
        <v>8.0399999999999991</v>
      </c>
      <c r="D13" s="77">
        <v>3.1680000000000001</v>
      </c>
      <c r="E13" s="77">
        <v>8.2880000000000003</v>
      </c>
      <c r="F13" s="43">
        <f t="shared" si="3"/>
        <v>0.85577841451766945</v>
      </c>
      <c r="G13" s="43">
        <f t="shared" si="3"/>
        <v>0.47373447946514063</v>
      </c>
      <c r="H13" s="43">
        <f t="shared" si="4"/>
        <v>0.47010506208213948</v>
      </c>
      <c r="I13" s="43">
        <f t="shared" si="4"/>
        <v>8.366762177650526E-2</v>
      </c>
      <c r="J13" s="44">
        <f t="shared" si="5"/>
        <v>0.3008960882459466</v>
      </c>
    </row>
    <row r="14" spans="1:23" x14ac:dyDescent="0.25">
      <c r="A14" s="75">
        <v>50</v>
      </c>
      <c r="B14" s="76">
        <v>2.72</v>
      </c>
      <c r="C14" s="76">
        <v>8.0399999999999991</v>
      </c>
      <c r="D14" s="77">
        <v>3.222</v>
      </c>
      <c r="E14" s="77">
        <v>7.9379999999999997</v>
      </c>
      <c r="F14" s="43">
        <f t="shared" si="3"/>
        <v>0.95893027698185251</v>
      </c>
      <c r="G14" s="43">
        <f t="shared" si="3"/>
        <v>-0.19484240687678975</v>
      </c>
      <c r="H14" s="43">
        <f t="shared" si="4"/>
        <v>0.47010506208213948</v>
      </c>
      <c r="I14" s="43">
        <f t="shared" si="4"/>
        <v>8.366762177650526E-2</v>
      </c>
      <c r="J14" s="44">
        <f t="shared" si="5"/>
        <v>0.3165179267822098</v>
      </c>
    </row>
    <row r="15" spans="1:23" x14ac:dyDescent="0.25">
      <c r="A15" s="75">
        <v>50</v>
      </c>
      <c r="B15" s="76">
        <v>2.72</v>
      </c>
      <c r="C15" s="76">
        <v>8.0399999999999991</v>
      </c>
      <c r="D15" s="77">
        <v>3.0449999999999999</v>
      </c>
      <c r="E15" s="77">
        <v>7.8330000000000002</v>
      </c>
      <c r="F15" s="43">
        <f t="shared" si="3"/>
        <v>0.62082139446036244</v>
      </c>
      <c r="G15" s="43">
        <f t="shared" si="3"/>
        <v>-0.39541547277936767</v>
      </c>
      <c r="H15" s="43">
        <f t="shared" si="4"/>
        <v>0.47010506208213948</v>
      </c>
      <c r="I15" s="43">
        <f t="shared" si="4"/>
        <v>8.366762177650526E-2</v>
      </c>
      <c r="J15" s="44">
        <f t="shared" si="5"/>
        <v>0.25223602433477449</v>
      </c>
    </row>
    <row r="16" spans="1:23" x14ac:dyDescent="0.25">
      <c r="A16" s="75">
        <v>50</v>
      </c>
      <c r="B16" s="76">
        <v>2.72</v>
      </c>
      <c r="C16" s="76">
        <v>8.0399999999999991</v>
      </c>
      <c r="D16" s="77">
        <v>2.9</v>
      </c>
      <c r="E16" s="77">
        <v>7.883</v>
      </c>
      <c r="F16" s="43">
        <f t="shared" si="3"/>
        <v>0.34383954154727742</v>
      </c>
      <c r="G16" s="43">
        <f t="shared" si="3"/>
        <v>-0.29990448901623523</v>
      </c>
      <c r="H16" s="43">
        <f t="shared" si="4"/>
        <v>0.47010506208213948</v>
      </c>
      <c r="I16" s="43">
        <f t="shared" si="4"/>
        <v>8.366762177650526E-2</v>
      </c>
      <c r="J16" s="44">
        <f t="shared" si="5"/>
        <v>0.1630705458539381</v>
      </c>
    </row>
    <row r="17" spans="1:10" x14ac:dyDescent="0.25">
      <c r="A17" s="75">
        <v>50</v>
      </c>
      <c r="B17" s="76">
        <v>2.72</v>
      </c>
      <c r="C17" s="76">
        <v>8.0399999999999991</v>
      </c>
      <c r="D17" s="77">
        <v>2.7450000000000001</v>
      </c>
      <c r="E17" s="77">
        <v>8.1609999999999996</v>
      </c>
      <c r="F17" s="43">
        <f t="shared" si="3"/>
        <v>4.7755491881566213E-2</v>
      </c>
      <c r="G17" s="43">
        <f t="shared" si="3"/>
        <v>0.23113658070678214</v>
      </c>
      <c r="H17" s="43">
        <f t="shared" si="4"/>
        <v>0.47010506208213948</v>
      </c>
      <c r="I17" s="43">
        <f t="shared" si="4"/>
        <v>8.366762177650526E-2</v>
      </c>
      <c r="J17" s="44">
        <f t="shared" si="5"/>
        <v>0.20012625329658867</v>
      </c>
    </row>
    <row r="18" spans="1:10" x14ac:dyDescent="0.25">
      <c r="A18" s="75">
        <v>50</v>
      </c>
      <c r="B18" s="76">
        <v>5.78</v>
      </c>
      <c r="C18" s="76">
        <v>8.0329999999999995</v>
      </c>
      <c r="D18" s="77">
        <v>5.8769999999999998</v>
      </c>
      <c r="E18" s="77">
        <v>8.0559999999999992</v>
      </c>
      <c r="F18" s="43">
        <f t="shared" si="3"/>
        <v>0.18529130850047668</v>
      </c>
      <c r="G18" s="43">
        <f t="shared" si="3"/>
        <v>4.3935052531040478E-2</v>
      </c>
      <c r="H18" s="43">
        <f t="shared" si="4"/>
        <v>0.47010506208213948</v>
      </c>
      <c r="I18" s="43">
        <f t="shared" si="4"/>
        <v>8.366762177650526E-2</v>
      </c>
      <c r="J18" s="44">
        <f t="shared" si="5"/>
        <v>8.2697551288121812E-2</v>
      </c>
    </row>
    <row r="19" spans="1:10" x14ac:dyDescent="0.25">
      <c r="A19" s="75">
        <v>50</v>
      </c>
      <c r="B19" s="76">
        <v>5.78</v>
      </c>
      <c r="C19" s="76">
        <v>8.0329999999999995</v>
      </c>
      <c r="D19" s="77">
        <v>5.7539999999999996</v>
      </c>
      <c r="E19" s="77">
        <v>8.1240000000000006</v>
      </c>
      <c r="F19" s="43">
        <f t="shared" si="3"/>
        <v>-4.9665711556830354E-2</v>
      </c>
      <c r="G19" s="43">
        <f t="shared" si="3"/>
        <v>0.17382999044890371</v>
      </c>
      <c r="H19" s="43">
        <f t="shared" si="4"/>
        <v>0.47010506208213948</v>
      </c>
      <c r="I19" s="43">
        <f t="shared" si="4"/>
        <v>8.366762177650526E-2</v>
      </c>
      <c r="J19" s="44">
        <f t="shared" si="5"/>
        <v>0.27829090985387073</v>
      </c>
    </row>
    <row r="20" spans="1:10" x14ac:dyDescent="0.25">
      <c r="A20" s="75">
        <v>50</v>
      </c>
      <c r="B20" s="76">
        <v>5.78</v>
      </c>
      <c r="C20" s="76">
        <v>8.0329999999999995</v>
      </c>
      <c r="D20" s="77">
        <v>5.8860000000000001</v>
      </c>
      <c r="E20" s="77">
        <v>8.2970000000000006</v>
      </c>
      <c r="F20" s="43">
        <f t="shared" si="3"/>
        <v>0.20248328557784123</v>
      </c>
      <c r="G20" s="43">
        <f t="shared" si="3"/>
        <v>0.50429799426934319</v>
      </c>
      <c r="H20" s="43">
        <f t="shared" si="4"/>
        <v>0.47010506208213948</v>
      </c>
      <c r="I20" s="43">
        <f t="shared" si="4"/>
        <v>8.366762177650526E-2</v>
      </c>
      <c r="J20" s="44">
        <f t="shared" si="5"/>
        <v>0.24855132552278014</v>
      </c>
    </row>
    <row r="21" spans="1:10" x14ac:dyDescent="0.25">
      <c r="A21" s="75">
        <v>50</v>
      </c>
      <c r="B21" s="76">
        <v>5.78</v>
      </c>
      <c r="C21" s="76">
        <v>8.0329999999999995</v>
      </c>
      <c r="D21" s="77">
        <v>5.9859999999999998</v>
      </c>
      <c r="E21" s="77">
        <v>8.3919999999999995</v>
      </c>
      <c r="F21" s="43">
        <f t="shared" si="3"/>
        <v>0.39350525310410606</v>
      </c>
      <c r="G21" s="43">
        <f t="shared" si="3"/>
        <v>0.68576886341929322</v>
      </c>
      <c r="H21" s="43">
        <f t="shared" si="4"/>
        <v>0.47010506208213948</v>
      </c>
      <c r="I21" s="43">
        <f t="shared" si="4"/>
        <v>8.366762177650526E-2</v>
      </c>
      <c r="J21" s="44">
        <f t="shared" si="5"/>
        <v>0.36839343592325818</v>
      </c>
    </row>
    <row r="22" spans="1:10" x14ac:dyDescent="0.25">
      <c r="A22" s="75">
        <v>50</v>
      </c>
      <c r="B22" s="76">
        <v>5.78</v>
      </c>
      <c r="C22" s="76">
        <v>8.0329999999999995</v>
      </c>
      <c r="D22" s="77">
        <v>5.931</v>
      </c>
      <c r="E22" s="77">
        <v>8.4239999999999995</v>
      </c>
      <c r="F22" s="43">
        <f t="shared" si="3"/>
        <v>0.2884431709646606</v>
      </c>
      <c r="G22" s="43">
        <f t="shared" si="3"/>
        <v>0.74689589302769821</v>
      </c>
      <c r="H22" s="43">
        <f t="shared" si="4"/>
        <v>0.47010506208213948</v>
      </c>
      <c r="I22" s="43">
        <f t="shared" si="4"/>
        <v>8.366762177650526E-2</v>
      </c>
      <c r="J22" s="44">
        <f t="shared" si="5"/>
        <v>0.47287278247122477</v>
      </c>
    </row>
    <row r="23" spans="1:10" x14ac:dyDescent="0.25">
      <c r="A23" s="75"/>
      <c r="B23" s="75"/>
      <c r="C23" s="75"/>
      <c r="G23" s="43"/>
      <c r="H23" s="43"/>
      <c r="I23" s="43"/>
      <c r="J23" s="44"/>
    </row>
    <row r="24" spans="1:10" x14ac:dyDescent="0.25">
      <c r="A24" s="75"/>
      <c r="B24" s="75"/>
      <c r="C24" s="75"/>
      <c r="G24" s="43"/>
      <c r="H24" s="43"/>
      <c r="I24" s="43"/>
      <c r="J24" s="44"/>
    </row>
    <row r="25" spans="1:10" x14ac:dyDescent="0.25">
      <c r="A25" s="75"/>
      <c r="B25" s="75"/>
      <c r="C25" s="75"/>
      <c r="G25" s="43"/>
      <c r="H25" s="43"/>
      <c r="I25" s="43"/>
      <c r="J25" s="44"/>
    </row>
    <row r="26" spans="1:10" x14ac:dyDescent="0.25">
      <c r="A26" s="75"/>
      <c r="B26" s="75"/>
      <c r="C26" s="75"/>
      <c r="G26" s="43"/>
      <c r="H26" s="43"/>
      <c r="I26" s="43"/>
      <c r="J26" s="44"/>
    </row>
    <row r="27" spans="1:10" x14ac:dyDescent="0.25">
      <c r="A27" s="75"/>
      <c r="B27" s="75"/>
      <c r="C27" s="75"/>
      <c r="G27" s="43"/>
      <c r="H27" s="43"/>
      <c r="I27" s="43"/>
      <c r="J27" s="44"/>
    </row>
    <row r="28" spans="1:10" x14ac:dyDescent="0.25">
      <c r="A28" s="75"/>
      <c r="B28" s="75"/>
      <c r="C28" s="75"/>
      <c r="F28" s="75"/>
      <c r="J28" s="75"/>
    </row>
    <row r="29" spans="1:10" x14ac:dyDescent="0.25">
      <c r="A29" s="75"/>
      <c r="B29" s="75"/>
      <c r="C29" s="75"/>
      <c r="F29" s="75"/>
      <c r="J29" s="75"/>
    </row>
    <row r="30" spans="1:10" x14ac:dyDescent="0.25">
      <c r="A30" s="75"/>
      <c r="B30" s="75"/>
      <c r="C30" s="75"/>
      <c r="F30" s="75"/>
      <c r="J30" s="75"/>
    </row>
    <row r="31" spans="1:10" x14ac:dyDescent="0.25">
      <c r="A31" s="75"/>
      <c r="B31" s="75"/>
      <c r="C31" s="75"/>
      <c r="F31" s="75"/>
      <c r="J31" s="75"/>
    </row>
    <row r="32" spans="1:10" x14ac:dyDescent="0.25">
      <c r="A32" s="75"/>
      <c r="B32" s="75"/>
      <c r="C32" s="75"/>
      <c r="F32" s="75"/>
      <c r="J32" s="75"/>
    </row>
  </sheetData>
  <mergeCells count="3">
    <mergeCell ref="B1:C1"/>
    <mergeCell ref="D1:E1"/>
    <mergeCell ref="F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8.26953125" style="27" bestFit="1" customWidth="1"/>
    <col min="2" max="3" width="13.26953125" style="31" customWidth="1"/>
    <col min="4" max="5" width="8.7265625" style="73"/>
    <col min="6" max="6" width="8.7265625" style="43"/>
    <col min="7" max="9" width="8.7265625" style="73"/>
    <col min="10" max="10" width="8.7265625" style="27"/>
    <col min="11" max="11" width="8.7265625" style="73"/>
    <col min="12" max="12" width="18.36328125" style="73" bestFit="1" customWidth="1"/>
    <col min="13" max="14" width="7.26953125" style="1" customWidth="1"/>
    <col min="15" max="15" width="11.08984375" style="73" customWidth="1"/>
    <col min="16" max="16" width="10.90625" style="73" customWidth="1"/>
    <col min="17" max="17" width="11.54296875" style="9" customWidth="1"/>
    <col min="18" max="19" width="8.7265625" style="1"/>
    <col min="20" max="16384" width="8.7265625" style="73"/>
  </cols>
  <sheetData>
    <row r="1" spans="1:23" ht="13.5" thickBot="1" x14ac:dyDescent="0.35">
      <c r="A1" s="59" t="s">
        <v>21</v>
      </c>
      <c r="B1" s="63" t="s">
        <v>16</v>
      </c>
      <c r="C1" s="61"/>
      <c r="D1" s="61" t="s">
        <v>15</v>
      </c>
      <c r="E1" s="62"/>
      <c r="F1" s="63" t="s">
        <v>14</v>
      </c>
      <c r="G1" s="61"/>
      <c r="H1" s="61"/>
      <c r="I1" s="61"/>
      <c r="J1" s="62"/>
      <c r="L1" s="55" t="s">
        <v>24</v>
      </c>
      <c r="M1" s="56">
        <f>ROUND(10*M3,0)</f>
        <v>5</v>
      </c>
      <c r="N1" s="73"/>
      <c r="O1" s="39" t="s">
        <v>7</v>
      </c>
      <c r="P1" s="37" t="s">
        <v>13</v>
      </c>
      <c r="Q1" s="38" t="s">
        <v>8</v>
      </c>
      <c r="R1" s="38" t="s">
        <v>9</v>
      </c>
      <c r="S1" s="38" t="s">
        <v>10</v>
      </c>
      <c r="T1" s="48" t="s">
        <v>12</v>
      </c>
      <c r="U1" s="49">
        <v>0.8</v>
      </c>
      <c r="V1" s="33"/>
    </row>
    <row r="2" spans="1:23" ht="13" x14ac:dyDescent="0.3">
      <c r="A2" s="29" t="s">
        <v>22</v>
      </c>
      <c r="B2" s="25" t="s">
        <v>17</v>
      </c>
      <c r="C2" s="25" t="s">
        <v>18</v>
      </c>
      <c r="D2" s="25" t="s">
        <v>19</v>
      </c>
      <c r="E2" s="25" t="s">
        <v>20</v>
      </c>
      <c r="F2" s="26" t="s">
        <v>2</v>
      </c>
      <c r="G2" s="26" t="s">
        <v>1</v>
      </c>
      <c r="H2" s="26" t="s">
        <v>4</v>
      </c>
      <c r="I2" s="26" t="s">
        <v>3</v>
      </c>
      <c r="J2" s="28" t="s">
        <v>0</v>
      </c>
      <c r="L2" s="53" t="s">
        <v>23</v>
      </c>
      <c r="M2" s="54">
        <f>S2*SQRT(Q2*O2/(2*P2-2))</f>
        <v>0.42439418848417493</v>
      </c>
      <c r="N2" s="73"/>
      <c r="O2" s="73">
        <f>SUM(J:J)</f>
        <v>8.2134903836768327</v>
      </c>
      <c r="P2" s="73">
        <f>COUNT(J:J)</f>
        <v>25</v>
      </c>
      <c r="Q2" s="46">
        <f t="shared" ref="Q2" si="0">P2/(P2-1)</f>
        <v>1.0416666666666667</v>
      </c>
      <c r="R2" s="46">
        <f t="shared" ref="R2" si="1">2*P2-1</f>
        <v>49</v>
      </c>
      <c r="S2" s="46">
        <f t="shared" ref="S2" si="2">1/EXP(LN(SQRT(2/(R2-1))) + GAMMALN(R2/2) - GAMMALN((R2-1)/2))</f>
        <v>1.005221541749022</v>
      </c>
      <c r="T2" s="47">
        <f>SQRT(O2/CHIINV((1-U1)/2,2*P2-2))</f>
        <v>0.36722452116171711</v>
      </c>
      <c r="U2" s="24">
        <f>SQRT(O2/CHIINV(0.5+U1/2,2*P2-2))</f>
        <v>0.47799095443382433</v>
      </c>
      <c r="W2" s="41"/>
    </row>
    <row r="3" spans="1:23" x14ac:dyDescent="0.25">
      <c r="A3" s="73">
        <v>50</v>
      </c>
      <c r="B3" s="74">
        <v>5.6710000000000003</v>
      </c>
      <c r="C3" s="74">
        <v>1.929</v>
      </c>
      <c r="D3" s="75">
        <v>5.4370000000000003</v>
      </c>
      <c r="E3" s="75">
        <v>1.496</v>
      </c>
      <c r="F3" s="43">
        <f>(D3-B3)/(0.01047*$A3)</f>
        <v>-0.44699140401146131</v>
      </c>
      <c r="G3" s="43">
        <f>(E3-C3)/(0.01047*$A3)</f>
        <v>-0.8271251193887299</v>
      </c>
      <c r="H3" s="43">
        <f>AVERAGE(F:F)</f>
        <v>0.45264565425023867</v>
      </c>
      <c r="I3" s="43">
        <f>AVERAGE(G:G)</f>
        <v>-0.44271251193887318</v>
      </c>
      <c r="J3" s="44">
        <f>POWER(F3-H3,2)+POWER(G3-I3,2)</f>
        <v>0.95711988936416292</v>
      </c>
      <c r="L3" s="57" t="s">
        <v>25</v>
      </c>
      <c r="M3" s="58">
        <f>SQRT(O2/CHIINV(0.9,2*P2-2))</f>
        <v>0.47799095443382433</v>
      </c>
      <c r="N3" s="52"/>
    </row>
    <row r="4" spans="1:23" ht="13" x14ac:dyDescent="0.3">
      <c r="A4" s="73">
        <v>50</v>
      </c>
      <c r="B4" s="74">
        <v>5.6710000000000003</v>
      </c>
      <c r="C4" s="74">
        <v>1.929</v>
      </c>
      <c r="D4" s="75">
        <v>5.7</v>
      </c>
      <c r="E4" s="75">
        <v>1.478</v>
      </c>
      <c r="F4" s="43">
        <f t="shared" ref="F4:G32" si="3">(D4-B4)/(0.01047*$A4)</f>
        <v>5.5396370582616844E-2</v>
      </c>
      <c r="G4" s="43">
        <f t="shared" si="3"/>
        <v>-0.86150907354345774</v>
      </c>
      <c r="H4" s="43">
        <f t="shared" ref="H4:I32" si="4">AVERAGE(F:F)</f>
        <v>0.45264565425023867</v>
      </c>
      <c r="I4" s="43">
        <f t="shared" si="4"/>
        <v>-0.44271251193887318</v>
      </c>
      <c r="J4" s="44">
        <f t="shared" ref="J4:J32" si="5">POWER(F4-H4,2)+POWER(G4-I4,2)</f>
        <v>0.33319755338626122</v>
      </c>
      <c r="L4" s="69" t="s">
        <v>29</v>
      </c>
      <c r="M4" s="73" t="s">
        <v>33</v>
      </c>
      <c r="N4" s="71" t="s">
        <v>32</v>
      </c>
      <c r="O4" s="70" t="s">
        <v>34</v>
      </c>
    </row>
    <row r="5" spans="1:23" x14ac:dyDescent="0.25">
      <c r="A5" s="73">
        <v>50</v>
      </c>
      <c r="B5" s="74">
        <v>5.6710000000000003</v>
      </c>
      <c r="C5" s="74">
        <v>1.929</v>
      </c>
      <c r="D5" s="75">
        <v>5.8230000000000004</v>
      </c>
      <c r="E5" s="75">
        <v>1.548</v>
      </c>
      <c r="F5" s="43">
        <f t="shared" si="3"/>
        <v>0.29035339063992388</v>
      </c>
      <c r="G5" s="43">
        <f t="shared" si="3"/>
        <v>-0.72779369627507173</v>
      </c>
      <c r="H5" s="43">
        <f t="shared" si="4"/>
        <v>0.45264565425023867</v>
      </c>
      <c r="I5" s="43">
        <f t="shared" si="4"/>
        <v>-0.44271251193887318</v>
      </c>
      <c r="J5" s="44">
        <f t="shared" si="5"/>
        <v>0.10761006049028952</v>
      </c>
    </row>
    <row r="6" spans="1:23" x14ac:dyDescent="0.25">
      <c r="A6" s="73">
        <v>50</v>
      </c>
      <c r="B6" s="74">
        <v>5.6710000000000003</v>
      </c>
      <c r="C6" s="74">
        <v>1.929</v>
      </c>
      <c r="D6" s="75">
        <v>6.01</v>
      </c>
      <c r="E6" s="75">
        <v>1.7869999999999999</v>
      </c>
      <c r="F6" s="43">
        <f t="shared" si="3"/>
        <v>0.64756446991403926</v>
      </c>
      <c r="G6" s="43">
        <f t="shared" si="3"/>
        <v>-0.27125119388729729</v>
      </c>
      <c r="H6" s="43">
        <f t="shared" si="4"/>
        <v>0.45264565425023867</v>
      </c>
      <c r="I6" s="43">
        <f t="shared" si="4"/>
        <v>-0.44271251193887318</v>
      </c>
      <c r="J6" s="44">
        <f t="shared" si="5"/>
        <v>6.7392328287762343E-2</v>
      </c>
    </row>
    <row r="7" spans="1:23" x14ac:dyDescent="0.25">
      <c r="A7" s="73">
        <v>50</v>
      </c>
      <c r="B7" s="74">
        <v>5.6710000000000003</v>
      </c>
      <c r="C7" s="74">
        <v>1.929</v>
      </c>
      <c r="D7" s="75">
        <v>5.758</v>
      </c>
      <c r="E7" s="75">
        <v>1.8340000000000001</v>
      </c>
      <c r="F7" s="43">
        <f t="shared" si="3"/>
        <v>0.16618911174785053</v>
      </c>
      <c r="G7" s="43">
        <f t="shared" si="3"/>
        <v>-0.1814708691499522</v>
      </c>
      <c r="H7" s="43">
        <f t="shared" si="4"/>
        <v>0.45264565425023867</v>
      </c>
      <c r="I7" s="43">
        <f t="shared" si="4"/>
        <v>-0.44271251193887318</v>
      </c>
      <c r="J7" s="44">
        <f t="shared" si="5"/>
        <v>0.15030454666947671</v>
      </c>
    </row>
    <row r="8" spans="1:23" x14ac:dyDescent="0.25">
      <c r="A8" s="73">
        <v>50</v>
      </c>
      <c r="B8" s="74">
        <v>2.6539999999999999</v>
      </c>
      <c r="C8" s="74">
        <v>4.9039999999999999</v>
      </c>
      <c r="D8" s="75">
        <v>3.1920000000000002</v>
      </c>
      <c r="E8" s="75">
        <v>4.4630000000000001</v>
      </c>
      <c r="F8" s="43">
        <f t="shared" si="3"/>
        <v>1.027698185291309</v>
      </c>
      <c r="G8" s="43">
        <f t="shared" si="3"/>
        <v>-0.84240687679083071</v>
      </c>
      <c r="H8" s="43">
        <f t="shared" si="4"/>
        <v>0.45264565425023867</v>
      </c>
      <c r="I8" s="43">
        <f t="shared" si="4"/>
        <v>-0.44271251193887318</v>
      </c>
      <c r="J8" s="44">
        <f t="shared" si="5"/>
        <v>0.49044099875115094</v>
      </c>
    </row>
    <row r="9" spans="1:23" x14ac:dyDescent="0.25">
      <c r="A9" s="73">
        <v>50</v>
      </c>
      <c r="B9" s="74">
        <v>2.6539999999999999</v>
      </c>
      <c r="C9" s="74">
        <v>4.9039999999999999</v>
      </c>
      <c r="D9" s="75">
        <v>3.145</v>
      </c>
      <c r="E9" s="75">
        <v>4.5279999999999996</v>
      </c>
      <c r="F9" s="43">
        <f t="shared" si="3"/>
        <v>0.93791786055396398</v>
      </c>
      <c r="G9" s="43">
        <f t="shared" si="3"/>
        <v>-0.71824259789875899</v>
      </c>
      <c r="H9" s="43">
        <f t="shared" si="4"/>
        <v>0.45264565425023867</v>
      </c>
      <c r="I9" s="43">
        <f t="shared" si="4"/>
        <v>-0.44271251193887318</v>
      </c>
      <c r="J9" s="44">
        <f t="shared" si="5"/>
        <v>0.31140594247994741</v>
      </c>
    </row>
    <row r="10" spans="1:23" x14ac:dyDescent="0.25">
      <c r="A10" s="73">
        <v>50</v>
      </c>
      <c r="B10" s="74">
        <v>2.6539999999999999</v>
      </c>
      <c r="C10" s="74">
        <v>4.9039999999999999</v>
      </c>
      <c r="D10" s="75">
        <v>3.081</v>
      </c>
      <c r="E10" s="75">
        <v>4.6150000000000002</v>
      </c>
      <c r="F10" s="43">
        <f t="shared" si="3"/>
        <v>0.81566380133715388</v>
      </c>
      <c r="G10" s="43">
        <f t="shared" si="3"/>
        <v>-0.55205348615090677</v>
      </c>
      <c r="H10" s="43">
        <f t="shared" si="4"/>
        <v>0.45264565425023867</v>
      </c>
      <c r="I10" s="43">
        <f t="shared" si="4"/>
        <v>-0.44271251193887318</v>
      </c>
      <c r="J10" s="44">
        <f t="shared" si="5"/>
        <v>0.14373762375605378</v>
      </c>
    </row>
    <row r="11" spans="1:23" x14ac:dyDescent="0.25">
      <c r="A11" s="73">
        <v>50</v>
      </c>
      <c r="B11" s="74">
        <v>2.6539999999999999</v>
      </c>
      <c r="C11" s="74">
        <v>4.9039999999999999</v>
      </c>
      <c r="D11" s="75">
        <v>3.1269999999999998</v>
      </c>
      <c r="E11" s="75">
        <v>4.7149999999999999</v>
      </c>
      <c r="F11" s="43">
        <f t="shared" si="3"/>
        <v>0.9035339063992357</v>
      </c>
      <c r="G11" s="43">
        <f t="shared" si="3"/>
        <v>-0.36103151862464194</v>
      </c>
      <c r="H11" s="43">
        <f t="shared" si="4"/>
        <v>0.45264565425023867</v>
      </c>
      <c r="I11" s="43">
        <f t="shared" si="4"/>
        <v>-0.44271251193887318</v>
      </c>
      <c r="J11" s="44">
        <f t="shared" si="5"/>
        <v>0.209972000594777</v>
      </c>
    </row>
    <row r="12" spans="1:23" x14ac:dyDescent="0.25">
      <c r="A12" s="73">
        <v>50</v>
      </c>
      <c r="B12" s="74">
        <v>2.6539999999999999</v>
      </c>
      <c r="C12" s="74">
        <v>4.9039999999999999</v>
      </c>
      <c r="D12" s="75">
        <v>3.121</v>
      </c>
      <c r="E12" s="75">
        <v>4.6440000000000001</v>
      </c>
      <c r="F12" s="43">
        <f t="shared" si="3"/>
        <v>0.89207258834766023</v>
      </c>
      <c r="G12" s="43">
        <f t="shared" si="3"/>
        <v>-0.49665711556828995</v>
      </c>
      <c r="H12" s="43">
        <f t="shared" si="4"/>
        <v>0.45264565425023867</v>
      </c>
      <c r="I12" s="43">
        <f t="shared" si="4"/>
        <v>-0.44271251193887318</v>
      </c>
      <c r="J12" s="44">
        <f t="shared" si="5"/>
        <v>0.19600605067099455</v>
      </c>
    </row>
    <row r="13" spans="1:23" x14ac:dyDescent="0.25">
      <c r="A13" s="73">
        <v>50</v>
      </c>
      <c r="B13" s="74">
        <v>5.6509999999999998</v>
      </c>
      <c r="C13" s="74">
        <v>4.9039999999999999</v>
      </c>
      <c r="D13" s="75">
        <v>5.8810000000000002</v>
      </c>
      <c r="E13" s="75">
        <v>4.5279999999999996</v>
      </c>
      <c r="F13" s="43">
        <f t="shared" si="3"/>
        <v>0.43935052531041152</v>
      </c>
      <c r="G13" s="43">
        <f t="shared" si="3"/>
        <v>-0.71824259789875899</v>
      </c>
      <c r="H13" s="43">
        <f t="shared" si="4"/>
        <v>0.45264565425023867</v>
      </c>
      <c r="I13" s="43">
        <f t="shared" si="4"/>
        <v>-0.44271251193887318</v>
      </c>
      <c r="J13" s="44">
        <f t="shared" si="5"/>
        <v>7.6093588722588701E-2</v>
      </c>
    </row>
    <row r="14" spans="1:23" x14ac:dyDescent="0.25">
      <c r="A14" s="73">
        <v>50</v>
      </c>
      <c r="B14" s="74">
        <v>5.6509999999999998</v>
      </c>
      <c r="C14" s="74">
        <v>4.9039999999999999</v>
      </c>
      <c r="D14" s="75">
        <v>5.6589999999999998</v>
      </c>
      <c r="E14" s="75">
        <v>4.6210000000000004</v>
      </c>
      <c r="F14" s="43">
        <f t="shared" si="3"/>
        <v>1.5281757402101257E-2</v>
      </c>
      <c r="G14" s="43">
        <f t="shared" si="3"/>
        <v>-0.54059216809933042</v>
      </c>
      <c r="H14" s="43">
        <f t="shared" si="4"/>
        <v>0.45264565425023867</v>
      </c>
      <c r="I14" s="43">
        <f t="shared" si="4"/>
        <v>-0.44271251193887318</v>
      </c>
      <c r="J14" s="44">
        <f t="shared" si="5"/>
        <v>0.20086760535627751</v>
      </c>
    </row>
    <row r="15" spans="1:23" x14ac:dyDescent="0.25">
      <c r="A15" s="73">
        <v>50</v>
      </c>
      <c r="B15" s="74">
        <v>5.6509999999999998</v>
      </c>
      <c r="C15" s="74">
        <v>4.9039999999999999</v>
      </c>
      <c r="D15" s="75">
        <v>5.6589999999999998</v>
      </c>
      <c r="E15" s="75">
        <v>4.843</v>
      </c>
      <c r="F15" s="43">
        <f t="shared" si="3"/>
        <v>1.5281757402101257E-2</v>
      </c>
      <c r="G15" s="43">
        <f t="shared" si="3"/>
        <v>-0.11652340019102186</v>
      </c>
      <c r="H15" s="43">
        <f t="shared" si="4"/>
        <v>0.45264565425023867</v>
      </c>
      <c r="I15" s="43">
        <f t="shared" si="4"/>
        <v>-0.44271251193887318</v>
      </c>
      <c r="J15" s="44">
        <f t="shared" si="5"/>
        <v>0.29768651488904041</v>
      </c>
    </row>
    <row r="16" spans="1:23" x14ac:dyDescent="0.25">
      <c r="A16" s="73">
        <v>50</v>
      </c>
      <c r="B16" s="74">
        <v>5.6509999999999998</v>
      </c>
      <c r="C16" s="74">
        <v>4.9039999999999999</v>
      </c>
      <c r="D16" s="75">
        <v>5.7460000000000004</v>
      </c>
      <c r="E16" s="75">
        <v>4.8609999999999998</v>
      </c>
      <c r="F16" s="43">
        <f t="shared" si="3"/>
        <v>0.18147086914995347</v>
      </c>
      <c r="G16" s="43">
        <f t="shared" si="3"/>
        <v>-8.2139446036294458E-2</v>
      </c>
      <c r="H16" s="43">
        <f t="shared" si="4"/>
        <v>0.45264565425023867</v>
      </c>
      <c r="I16" s="43">
        <f t="shared" si="4"/>
        <v>-0.44271251193887318</v>
      </c>
      <c r="J16" s="44">
        <f t="shared" si="5"/>
        <v>0.20354869992857122</v>
      </c>
    </row>
    <row r="17" spans="1:10" x14ac:dyDescent="0.25">
      <c r="A17" s="73">
        <v>50</v>
      </c>
      <c r="B17" s="74">
        <v>5.6509999999999998</v>
      </c>
      <c r="C17" s="74">
        <v>4.9039999999999999</v>
      </c>
      <c r="D17" s="75">
        <v>5.9749999999999996</v>
      </c>
      <c r="E17" s="75">
        <v>5.0190000000000001</v>
      </c>
      <c r="F17" s="43">
        <f t="shared" si="3"/>
        <v>0.61891117478510005</v>
      </c>
      <c r="G17" s="43">
        <f t="shared" si="3"/>
        <v>0.21967526265520576</v>
      </c>
      <c r="H17" s="43">
        <f t="shared" si="4"/>
        <v>0.45264565425023867</v>
      </c>
      <c r="I17" s="43">
        <f t="shared" si="4"/>
        <v>-0.44271251193887318</v>
      </c>
      <c r="J17" s="44">
        <f t="shared" si="5"/>
        <v>0.46640178725042475</v>
      </c>
    </row>
    <row r="18" spans="1:10" x14ac:dyDescent="0.25">
      <c r="A18" s="73">
        <v>50</v>
      </c>
      <c r="B18" s="74">
        <v>2.6579999999999999</v>
      </c>
      <c r="C18" s="74">
        <v>7.8780000000000001</v>
      </c>
      <c r="D18" s="75">
        <v>2.8929999999999998</v>
      </c>
      <c r="E18" s="75">
        <v>7.2149999999999999</v>
      </c>
      <c r="F18" s="43">
        <f t="shared" si="3"/>
        <v>0.44890162368672376</v>
      </c>
      <c r="G18" s="43">
        <f t="shared" si="3"/>
        <v>-1.266475644699141</v>
      </c>
      <c r="H18" s="43">
        <f t="shared" si="4"/>
        <v>0.45264565425023867</v>
      </c>
      <c r="I18" s="43">
        <f t="shared" si="4"/>
        <v>-0.44271251193887318</v>
      </c>
      <c r="J18" s="44">
        <f t="shared" si="5"/>
        <v>0.67859971665987118</v>
      </c>
    </row>
    <row r="19" spans="1:10" x14ac:dyDescent="0.25">
      <c r="A19" s="73">
        <v>50</v>
      </c>
      <c r="B19" s="74">
        <v>2.6579999999999999</v>
      </c>
      <c r="C19" s="74">
        <v>7.8780000000000001</v>
      </c>
      <c r="D19" s="75">
        <v>3.081</v>
      </c>
      <c r="E19" s="75">
        <v>7.391</v>
      </c>
      <c r="F19" s="43">
        <f t="shared" si="3"/>
        <v>0.80802292263610331</v>
      </c>
      <c r="G19" s="43">
        <f t="shared" si="3"/>
        <v>-0.9302769818529133</v>
      </c>
      <c r="H19" s="43">
        <f t="shared" si="4"/>
        <v>0.45264565425023867</v>
      </c>
      <c r="I19" s="43">
        <f t="shared" si="4"/>
        <v>-0.44271251193887318</v>
      </c>
      <c r="J19" s="44">
        <f t="shared" si="5"/>
        <v>0.36401211520795784</v>
      </c>
    </row>
    <row r="20" spans="1:10" x14ac:dyDescent="0.25">
      <c r="A20" s="73">
        <v>50</v>
      </c>
      <c r="B20" s="74">
        <v>2.6579999999999999</v>
      </c>
      <c r="C20" s="74">
        <v>7.8780000000000001</v>
      </c>
      <c r="D20" s="75">
        <v>2.7589999999999999</v>
      </c>
      <c r="E20" s="75">
        <v>7.5430000000000001</v>
      </c>
      <c r="F20" s="43">
        <f t="shared" si="3"/>
        <v>0.19293218720152816</v>
      </c>
      <c r="G20" s="43">
        <f t="shared" si="3"/>
        <v>-0.63992359121298947</v>
      </c>
      <c r="H20" s="43">
        <f t="shared" si="4"/>
        <v>0.45264565425023867</v>
      </c>
      <c r="I20" s="43">
        <f t="shared" si="4"/>
        <v>-0.44271251193887318</v>
      </c>
      <c r="J20" s="44">
        <f t="shared" si="5"/>
        <v>0.10634329475492342</v>
      </c>
    </row>
    <row r="21" spans="1:10" x14ac:dyDescent="0.25">
      <c r="A21" s="73">
        <v>50</v>
      </c>
      <c r="B21" s="74">
        <v>2.6579999999999999</v>
      </c>
      <c r="C21" s="74">
        <v>7.8780000000000001</v>
      </c>
      <c r="D21" s="75">
        <v>2.83</v>
      </c>
      <c r="E21" s="75">
        <v>7.7359999999999998</v>
      </c>
      <c r="F21" s="43">
        <f t="shared" si="3"/>
        <v>0.328557784145177</v>
      </c>
      <c r="G21" s="43">
        <f t="shared" si="3"/>
        <v>-0.27125119388729774</v>
      </c>
      <c r="H21" s="43">
        <f t="shared" si="4"/>
        <v>0.45264565425023867</v>
      </c>
      <c r="I21" s="43">
        <f t="shared" si="4"/>
        <v>-0.44271251193887318</v>
      </c>
      <c r="J21" s="44">
        <f t="shared" si="5"/>
        <v>4.4796783095194165E-2</v>
      </c>
    </row>
    <row r="22" spans="1:10" x14ac:dyDescent="0.25">
      <c r="A22" s="73">
        <v>50</v>
      </c>
      <c r="B22" s="74">
        <v>2.6579999999999999</v>
      </c>
      <c r="C22" s="74">
        <v>7.8780000000000001</v>
      </c>
      <c r="D22" s="75">
        <v>3.1739999999999999</v>
      </c>
      <c r="E22" s="75">
        <v>7.7770000000000001</v>
      </c>
      <c r="F22" s="43">
        <f t="shared" si="3"/>
        <v>0.98567335243553023</v>
      </c>
      <c r="G22" s="43">
        <f t="shared" si="3"/>
        <v>-0.19293218720152816</v>
      </c>
      <c r="H22" s="43">
        <f t="shared" si="4"/>
        <v>0.45264565425023867</v>
      </c>
      <c r="I22" s="43">
        <f t="shared" si="4"/>
        <v>-0.44271251193887318</v>
      </c>
      <c r="J22" s="44">
        <f t="shared" si="5"/>
        <v>0.34650873765860379</v>
      </c>
    </row>
    <row r="23" spans="1:10" x14ac:dyDescent="0.25">
      <c r="A23" s="73">
        <v>50</v>
      </c>
      <c r="B23" s="74">
        <v>5.6550000000000002</v>
      </c>
      <c r="C23" s="74">
        <v>7.8710000000000004</v>
      </c>
      <c r="D23" s="75">
        <v>5.9219999999999997</v>
      </c>
      <c r="E23" s="75">
        <v>8.1329999999999991</v>
      </c>
      <c r="F23" s="43">
        <f t="shared" si="3"/>
        <v>0.51002865329512792</v>
      </c>
      <c r="G23" s="43">
        <f t="shared" si="3"/>
        <v>0.50047755491881318</v>
      </c>
      <c r="H23" s="43">
        <f t="shared" si="4"/>
        <v>0.45264565425023867</v>
      </c>
      <c r="I23" s="43">
        <f t="shared" si="4"/>
        <v>-0.44271251193887318</v>
      </c>
      <c r="J23" s="44">
        <f t="shared" si="5"/>
        <v>0.8929003107983926</v>
      </c>
    </row>
    <row r="24" spans="1:10" x14ac:dyDescent="0.25">
      <c r="A24" s="73">
        <v>50</v>
      </c>
      <c r="B24" s="74">
        <v>5.6550000000000002</v>
      </c>
      <c r="C24" s="74">
        <v>7.8710000000000004</v>
      </c>
      <c r="D24" s="75">
        <v>5.8520000000000003</v>
      </c>
      <c r="E24" s="75">
        <v>7.9930000000000003</v>
      </c>
      <c r="F24" s="43">
        <f t="shared" si="3"/>
        <v>0.37631327602674325</v>
      </c>
      <c r="G24" s="43">
        <f t="shared" si="3"/>
        <v>0.23304680038204373</v>
      </c>
      <c r="H24" s="43">
        <f t="shared" si="4"/>
        <v>0.45264565425023867</v>
      </c>
      <c r="I24" s="43">
        <f t="shared" si="4"/>
        <v>-0.44271251193887318</v>
      </c>
      <c r="J24" s="44">
        <f t="shared" si="5"/>
        <v>0.46247728015369327</v>
      </c>
    </row>
    <row r="25" spans="1:10" x14ac:dyDescent="0.25">
      <c r="A25" s="73">
        <v>50</v>
      </c>
      <c r="B25" s="74">
        <v>5.6550000000000002</v>
      </c>
      <c r="C25" s="74">
        <v>7.8710000000000004</v>
      </c>
      <c r="D25" s="75">
        <v>5.7930000000000001</v>
      </c>
      <c r="E25" s="75">
        <v>7.976</v>
      </c>
      <c r="F25" s="43">
        <f t="shared" si="3"/>
        <v>0.26361031518624622</v>
      </c>
      <c r="G25" s="43">
        <f t="shared" si="3"/>
        <v>0.20057306590257792</v>
      </c>
      <c r="H25" s="43">
        <f t="shared" si="4"/>
        <v>0.45264565425023867</v>
      </c>
      <c r="I25" s="43">
        <f t="shared" si="4"/>
        <v>-0.44271251193887318</v>
      </c>
      <c r="J25" s="44">
        <f t="shared" si="5"/>
        <v>0.44955069407384829</v>
      </c>
    </row>
    <row r="26" spans="1:10" x14ac:dyDescent="0.25">
      <c r="A26" s="73">
        <v>50</v>
      </c>
      <c r="B26" s="74">
        <v>5.6550000000000002</v>
      </c>
      <c r="C26" s="74">
        <v>7.8710000000000004</v>
      </c>
      <c r="D26" s="75">
        <v>5.8339999999999996</v>
      </c>
      <c r="E26" s="75">
        <v>7.6710000000000003</v>
      </c>
      <c r="F26" s="43">
        <f t="shared" si="3"/>
        <v>0.34192932187201414</v>
      </c>
      <c r="G26" s="43">
        <f t="shared" si="3"/>
        <v>-0.38204393505253142</v>
      </c>
      <c r="H26" s="43">
        <f t="shared" si="4"/>
        <v>0.45264565425023867</v>
      </c>
      <c r="I26" s="43">
        <f t="shared" si="4"/>
        <v>-0.44271251193887318</v>
      </c>
      <c r="J26" s="44">
        <f t="shared" si="5"/>
        <v>1.5938782476699449E-2</v>
      </c>
    </row>
    <row r="27" spans="1:10" x14ac:dyDescent="0.25">
      <c r="A27" s="73">
        <v>50</v>
      </c>
      <c r="B27" s="74">
        <v>5.6550000000000002</v>
      </c>
      <c r="C27" s="74">
        <v>7.8710000000000004</v>
      </c>
      <c r="D27" s="75">
        <v>5.9169999999999998</v>
      </c>
      <c r="E27" s="75">
        <v>7.2210000000000001</v>
      </c>
      <c r="F27" s="43">
        <f t="shared" si="3"/>
        <v>0.50047755491881485</v>
      </c>
      <c r="G27" s="43">
        <f t="shared" si="3"/>
        <v>-1.2416427889207267</v>
      </c>
      <c r="H27" s="43">
        <f t="shared" si="4"/>
        <v>0.45264565425023867</v>
      </c>
      <c r="I27" s="43">
        <f t="shared" si="4"/>
        <v>-0.44271251193887318</v>
      </c>
      <c r="J27" s="44">
        <f t="shared" si="5"/>
        <v>0.64057747819986965</v>
      </c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</sheetData>
  <mergeCells count="3">
    <mergeCell ref="B1:C1"/>
    <mergeCell ref="D1:E1"/>
    <mergeCell ref="F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8.26953125" style="27" bestFit="1" customWidth="1"/>
    <col min="2" max="3" width="13.26953125" style="31" customWidth="1"/>
    <col min="4" max="5" width="8.7265625" style="77"/>
    <col min="6" max="6" width="8.7265625" style="43"/>
    <col min="7" max="9" width="8.7265625" style="77"/>
    <col min="10" max="10" width="8.7265625" style="27"/>
    <col min="11" max="11" width="8.7265625" style="77"/>
    <col min="12" max="12" width="18.36328125" style="77" bestFit="1" customWidth="1"/>
    <col min="13" max="14" width="7.26953125" style="1" customWidth="1"/>
    <col min="15" max="15" width="11.08984375" style="77" customWidth="1"/>
    <col min="16" max="16" width="10.90625" style="77" customWidth="1"/>
    <col min="17" max="17" width="11.54296875" style="9" customWidth="1"/>
    <col min="18" max="19" width="8.7265625" style="1"/>
    <col min="20" max="16384" width="8.7265625" style="77"/>
  </cols>
  <sheetData>
    <row r="1" spans="1:23" ht="13.5" thickBot="1" x14ac:dyDescent="0.35">
      <c r="A1" s="59" t="s">
        <v>21</v>
      </c>
      <c r="B1" s="63" t="s">
        <v>16</v>
      </c>
      <c r="C1" s="61"/>
      <c r="D1" s="61" t="s">
        <v>15</v>
      </c>
      <c r="E1" s="62"/>
      <c r="F1" s="63" t="s">
        <v>14</v>
      </c>
      <c r="G1" s="61"/>
      <c r="H1" s="61"/>
      <c r="I1" s="61"/>
      <c r="J1" s="62"/>
      <c r="L1" s="55" t="s">
        <v>24</v>
      </c>
      <c r="M1" s="56">
        <f>ROUND(10*M3,0)</f>
        <v>6</v>
      </c>
      <c r="N1" s="77"/>
      <c r="O1" s="39" t="s">
        <v>7</v>
      </c>
      <c r="P1" s="37" t="s">
        <v>13</v>
      </c>
      <c r="Q1" s="38" t="s">
        <v>8</v>
      </c>
      <c r="R1" s="38" t="s">
        <v>9</v>
      </c>
      <c r="S1" s="38" t="s">
        <v>10</v>
      </c>
      <c r="T1" s="48" t="s">
        <v>12</v>
      </c>
      <c r="U1" s="49">
        <v>0.8</v>
      </c>
      <c r="V1" s="33"/>
    </row>
    <row r="2" spans="1:23" ht="13" x14ac:dyDescent="0.3">
      <c r="A2" s="29" t="s">
        <v>22</v>
      </c>
      <c r="B2" s="25" t="s">
        <v>17</v>
      </c>
      <c r="C2" s="25" t="s">
        <v>18</v>
      </c>
      <c r="D2" s="25" t="s">
        <v>19</v>
      </c>
      <c r="E2" s="25" t="s">
        <v>20</v>
      </c>
      <c r="F2" s="26" t="s">
        <v>2</v>
      </c>
      <c r="G2" s="26" t="s">
        <v>1</v>
      </c>
      <c r="H2" s="26" t="s">
        <v>4</v>
      </c>
      <c r="I2" s="26" t="s">
        <v>3</v>
      </c>
      <c r="J2" s="28" t="s">
        <v>0</v>
      </c>
      <c r="L2" s="53" t="s">
        <v>23</v>
      </c>
      <c r="M2" s="54">
        <f>S2*SQRT(Q2*O2/(2*P2-2))</f>
        <v>0.49454969785579295</v>
      </c>
      <c r="N2" s="77"/>
      <c r="O2" s="77">
        <f>SUM(J:J)</f>
        <v>13.595052403328197</v>
      </c>
      <c r="P2" s="77">
        <f>COUNT(J:J)</f>
        <v>30</v>
      </c>
      <c r="Q2" s="46">
        <f t="shared" ref="Q2" si="0">P2/(P2-1)</f>
        <v>1.0344827586206897</v>
      </c>
      <c r="R2" s="46">
        <f t="shared" ref="R2" si="1">2*P2-1</f>
        <v>59</v>
      </c>
      <c r="S2" s="46">
        <f t="shared" ref="S2" si="2">1/EXP(LN(SQRT(2/(R2-1))) + GAMMALN(R2/2) - GAMMALN((R2-1)/2))</f>
        <v>1.0043194333267089</v>
      </c>
      <c r="T2" s="47">
        <f>SQRT(O2/CHIINV((1-U1)/2,2*P2-2))</f>
        <v>0.4340528888852736</v>
      </c>
      <c r="U2" s="24">
        <f>SQRT(O2/CHIINV(0.5+U1/2,2*P2-2))</f>
        <v>0.55151327862822552</v>
      </c>
      <c r="W2" s="41"/>
    </row>
    <row r="3" spans="1:23" ht="13" x14ac:dyDescent="0.3">
      <c r="A3" s="78">
        <v>50</v>
      </c>
      <c r="B3" s="78">
        <v>2.6629999999999998</v>
      </c>
      <c r="C3" s="78">
        <v>1.931</v>
      </c>
      <c r="D3" s="79">
        <v>2.7250000000000001</v>
      </c>
      <c r="E3" s="79">
        <v>1.546</v>
      </c>
      <c r="F3" s="43">
        <f>(D3-B3)/(0.01047*$A3)</f>
        <v>0.11843361986628516</v>
      </c>
      <c r="G3" s="43">
        <f>(E3-C3)/(0.01047*$A3)</f>
        <v>-0.7354345749761223</v>
      </c>
      <c r="H3" s="43">
        <f>AVERAGE(F:F)</f>
        <v>1.0150907354345753</v>
      </c>
      <c r="I3" s="43">
        <f>AVERAGE(G:G)</f>
        <v>1.2416427889207418E-2</v>
      </c>
      <c r="J3" s="44">
        <f>POWER(F3-H3,2)+POWER(G3-I3,2)</f>
        <v>1.3632751053859253</v>
      </c>
      <c r="L3" s="57" t="s">
        <v>25</v>
      </c>
      <c r="M3" s="58">
        <f>SQRT(O2/CHIINV(0.9,2*P2-2))</f>
        <v>0.55151327862822552</v>
      </c>
      <c r="N3" s="68" t="s">
        <v>37</v>
      </c>
    </row>
    <row r="4" spans="1:23" ht="13" x14ac:dyDescent="0.3">
      <c r="A4" s="78">
        <v>50</v>
      </c>
      <c r="B4" s="78">
        <v>2.6629999999999998</v>
      </c>
      <c r="C4" s="78">
        <v>1.931</v>
      </c>
      <c r="D4" s="79">
        <v>3.0310000000000001</v>
      </c>
      <c r="E4" s="79">
        <v>1.667</v>
      </c>
      <c r="F4" s="43">
        <f t="shared" ref="F4:G32" si="3">(D4-B4)/(0.01047*$A4)</f>
        <v>0.70296084049665775</v>
      </c>
      <c r="G4" s="43">
        <f t="shared" si="3"/>
        <v>-0.50429799426934108</v>
      </c>
      <c r="H4" s="43">
        <f t="shared" ref="H4:I32" si="4">AVERAGE(F:F)</f>
        <v>1.0150907354345753</v>
      </c>
      <c r="I4" s="43">
        <f t="shared" si="4"/>
        <v>1.2416427889207418E-2</v>
      </c>
      <c r="J4" s="44">
        <f t="shared" ref="J4:J32" si="5">POWER(F4-H4,2)+POWER(G4-I4,2)</f>
        <v>0.36441886538059809</v>
      </c>
      <c r="L4" s="69" t="s">
        <v>29</v>
      </c>
      <c r="M4" s="77" t="s">
        <v>38</v>
      </c>
      <c r="N4" s="71" t="s">
        <v>32</v>
      </c>
      <c r="O4" s="70" t="s">
        <v>39</v>
      </c>
    </row>
    <row r="5" spans="1:23" x14ac:dyDescent="0.25">
      <c r="A5" s="78">
        <v>50</v>
      </c>
      <c r="B5" s="78">
        <v>2.6629999999999998</v>
      </c>
      <c r="C5" s="78">
        <v>1.931</v>
      </c>
      <c r="D5" s="79">
        <v>3.153</v>
      </c>
      <c r="E5" s="79">
        <v>1.546</v>
      </c>
      <c r="F5" s="43">
        <f t="shared" si="3"/>
        <v>0.93600764087870147</v>
      </c>
      <c r="G5" s="43">
        <f t="shared" si="3"/>
        <v>-0.7354345749761223</v>
      </c>
      <c r="H5" s="43">
        <f t="shared" si="4"/>
        <v>1.0150907354345753</v>
      </c>
      <c r="I5" s="43">
        <f t="shared" si="4"/>
        <v>1.2416427889207418E-2</v>
      </c>
      <c r="J5" s="44">
        <f t="shared" si="5"/>
        <v>0.56553525833121265</v>
      </c>
    </row>
    <row r="6" spans="1:23" x14ac:dyDescent="0.25">
      <c r="A6" s="78">
        <v>50</v>
      </c>
      <c r="B6" s="78">
        <v>2.6629999999999998</v>
      </c>
      <c r="C6" s="78">
        <v>1.931</v>
      </c>
      <c r="D6" s="79">
        <v>3.2050000000000001</v>
      </c>
      <c r="E6" s="79">
        <v>1.746</v>
      </c>
      <c r="F6" s="43">
        <f t="shared" si="3"/>
        <v>1.0353390639923596</v>
      </c>
      <c r="G6" s="43">
        <f t="shared" si="3"/>
        <v>-0.35339063992359132</v>
      </c>
      <c r="H6" s="43">
        <f t="shared" si="4"/>
        <v>1.0150907354345753</v>
      </c>
      <c r="I6" s="43">
        <f t="shared" si="4"/>
        <v>1.2416427889207418E-2</v>
      </c>
      <c r="J6" s="44">
        <f t="shared" si="5"/>
        <v>0.13422480567118153</v>
      </c>
    </row>
    <row r="7" spans="1:23" x14ac:dyDescent="0.25">
      <c r="A7" s="78">
        <v>50</v>
      </c>
      <c r="B7" s="78">
        <v>2.6629999999999998</v>
      </c>
      <c r="C7" s="78">
        <v>1.931</v>
      </c>
      <c r="D7" s="79">
        <v>2.996</v>
      </c>
      <c r="E7" s="79">
        <v>2.052</v>
      </c>
      <c r="F7" s="43">
        <f t="shared" si="3"/>
        <v>0.63610315186246458</v>
      </c>
      <c r="G7" s="43">
        <f t="shared" si="3"/>
        <v>0.23113658070678128</v>
      </c>
      <c r="H7" s="43">
        <f t="shared" si="4"/>
        <v>1.0150907354345753</v>
      </c>
      <c r="I7" s="43">
        <f t="shared" si="4"/>
        <v>1.2416427889207418E-2</v>
      </c>
      <c r="J7" s="44">
        <f t="shared" si="5"/>
        <v>0.1914700937503705</v>
      </c>
    </row>
    <row r="8" spans="1:23" x14ac:dyDescent="0.25">
      <c r="A8" s="78">
        <v>50</v>
      </c>
      <c r="B8" s="78">
        <v>5.6619999999999999</v>
      </c>
      <c r="C8" s="78">
        <v>1.921</v>
      </c>
      <c r="D8" s="79">
        <v>5.843</v>
      </c>
      <c r="E8" s="79">
        <v>2.2789999999999999</v>
      </c>
      <c r="F8" s="43">
        <f t="shared" si="3"/>
        <v>0.3457497612225407</v>
      </c>
      <c r="G8" s="43">
        <f t="shared" si="3"/>
        <v>0.68385864374403038</v>
      </c>
      <c r="H8" s="43">
        <f t="shared" si="4"/>
        <v>1.0150907354345753</v>
      </c>
      <c r="I8" s="43">
        <f t="shared" si="4"/>
        <v>1.2416427889207418E-2</v>
      </c>
      <c r="J8" s="44">
        <f t="shared" si="5"/>
        <v>0.89885198899115037</v>
      </c>
    </row>
    <row r="9" spans="1:23" x14ac:dyDescent="0.25">
      <c r="A9" s="78">
        <v>50</v>
      </c>
      <c r="B9" s="78">
        <v>5.6619999999999999</v>
      </c>
      <c r="C9" s="78">
        <v>1.921</v>
      </c>
      <c r="D9" s="79">
        <v>6.0259999999999998</v>
      </c>
      <c r="E9" s="79">
        <v>2.2170000000000001</v>
      </c>
      <c r="F9" s="43">
        <f t="shared" si="3"/>
        <v>0.69531996179560629</v>
      </c>
      <c r="G9" s="43">
        <f t="shared" si="3"/>
        <v>0.56542502387774607</v>
      </c>
      <c r="H9" s="43">
        <f t="shared" si="4"/>
        <v>1.0150907354345753</v>
      </c>
      <c r="I9" s="43">
        <f t="shared" si="4"/>
        <v>1.2416427889207418E-2</v>
      </c>
      <c r="J9" s="44">
        <f t="shared" si="5"/>
        <v>0.40807185491087955</v>
      </c>
    </row>
    <row r="10" spans="1:23" x14ac:dyDescent="0.25">
      <c r="A10" s="78">
        <v>50</v>
      </c>
      <c r="B10" s="78">
        <v>5.6619999999999999</v>
      </c>
      <c r="C10" s="78">
        <v>1.921</v>
      </c>
      <c r="D10" s="79">
        <v>6.4020000000000001</v>
      </c>
      <c r="E10" s="79">
        <v>1.8160000000000001</v>
      </c>
      <c r="F10" s="43">
        <f t="shared" si="3"/>
        <v>1.4135625596943653</v>
      </c>
      <c r="G10" s="43">
        <f t="shared" si="3"/>
        <v>-0.20057306590257878</v>
      </c>
      <c r="H10" s="43">
        <f t="shared" si="4"/>
        <v>1.0150907354345753</v>
      </c>
      <c r="I10" s="43">
        <f t="shared" si="4"/>
        <v>1.2416427889207418E-2</v>
      </c>
      <c r="J10" s="44">
        <f t="shared" si="5"/>
        <v>0.20414431919460629</v>
      </c>
    </row>
    <row r="11" spans="1:23" x14ac:dyDescent="0.25">
      <c r="A11" s="78">
        <v>50</v>
      </c>
      <c r="B11" s="78">
        <v>5.6619999999999999</v>
      </c>
      <c r="C11" s="78">
        <v>1.921</v>
      </c>
      <c r="D11" s="79">
        <v>6.6639999999999997</v>
      </c>
      <c r="E11" s="79">
        <v>1.9910000000000001</v>
      </c>
      <c r="F11" s="43">
        <f t="shared" si="3"/>
        <v>1.9140401146131802</v>
      </c>
      <c r="G11" s="43">
        <f t="shared" si="3"/>
        <v>0.133715377268386</v>
      </c>
      <c r="H11" s="43">
        <f t="shared" si="4"/>
        <v>1.0150907354345753</v>
      </c>
      <c r="I11" s="43">
        <f t="shared" si="4"/>
        <v>1.2416427889207418E-2</v>
      </c>
      <c r="J11" s="44">
        <f t="shared" si="5"/>
        <v>0.82282342144609177</v>
      </c>
    </row>
    <row r="12" spans="1:23" x14ac:dyDescent="0.25">
      <c r="A12" s="78">
        <v>50</v>
      </c>
      <c r="B12" s="78">
        <v>5.6619999999999999</v>
      </c>
      <c r="C12" s="78">
        <v>1.921</v>
      </c>
      <c r="D12" s="79">
        <v>6.6689999999999996</v>
      </c>
      <c r="E12" s="79">
        <v>1.895</v>
      </c>
      <c r="F12" s="43">
        <f t="shared" si="3"/>
        <v>1.9235912129894932</v>
      </c>
      <c r="G12" s="43">
        <f t="shared" si="3"/>
        <v>-4.9665711556829084E-2</v>
      </c>
      <c r="H12" s="43">
        <f t="shared" si="4"/>
        <v>1.0150907354345753</v>
      </c>
      <c r="I12" s="43">
        <f t="shared" si="4"/>
        <v>1.2416427889207418E-2</v>
      </c>
      <c r="J12" s="44">
        <f t="shared" si="5"/>
        <v>0.82922730975571102</v>
      </c>
    </row>
    <row r="13" spans="1:23" x14ac:dyDescent="0.25">
      <c r="A13" s="78">
        <v>50</v>
      </c>
      <c r="B13" s="78">
        <v>2.681</v>
      </c>
      <c r="C13" s="78">
        <v>4.9109999999999996</v>
      </c>
      <c r="D13" s="79">
        <v>2.7069999999999999</v>
      </c>
      <c r="E13" s="79">
        <v>5.0289999999999999</v>
      </c>
      <c r="F13" s="43">
        <f t="shared" si="3"/>
        <v>4.9665711556828661E-2</v>
      </c>
      <c r="G13" s="43">
        <f t="shared" si="3"/>
        <v>0.22540592168099396</v>
      </c>
      <c r="H13" s="43">
        <f t="shared" si="4"/>
        <v>1.0150907354345753</v>
      </c>
      <c r="I13" s="43">
        <f t="shared" si="4"/>
        <v>1.2416427889207418E-2</v>
      </c>
      <c r="J13" s="44">
        <f t="shared" si="5"/>
        <v>0.97741000119502919</v>
      </c>
    </row>
    <row r="14" spans="1:23" x14ac:dyDescent="0.25">
      <c r="A14" s="78">
        <v>50</v>
      </c>
      <c r="B14" s="78">
        <v>2.681</v>
      </c>
      <c r="C14" s="78">
        <v>4.9109999999999996</v>
      </c>
      <c r="D14" s="79">
        <v>2.996</v>
      </c>
      <c r="E14" s="79">
        <v>4.7060000000000004</v>
      </c>
      <c r="F14" s="43">
        <f t="shared" si="3"/>
        <v>0.6017191977077363</v>
      </c>
      <c r="G14" s="43">
        <f t="shared" si="3"/>
        <v>-0.39159503342884278</v>
      </c>
      <c r="H14" s="43">
        <f t="shared" si="4"/>
        <v>1.0150907354345753</v>
      </c>
      <c r="I14" s="43">
        <f t="shared" si="4"/>
        <v>1.2416427889207418E-2</v>
      </c>
      <c r="J14" s="44">
        <f t="shared" si="5"/>
        <v>0.33410128907899783</v>
      </c>
    </row>
    <row r="15" spans="1:23" x14ac:dyDescent="0.25">
      <c r="A15" s="78">
        <v>50</v>
      </c>
      <c r="B15" s="78">
        <v>2.681</v>
      </c>
      <c r="C15" s="78">
        <v>4.9109999999999996</v>
      </c>
      <c r="D15" s="79">
        <v>3.31</v>
      </c>
      <c r="E15" s="79">
        <v>4.4530000000000003</v>
      </c>
      <c r="F15" s="43">
        <f t="shared" si="3"/>
        <v>1.2015281757402103</v>
      </c>
      <c r="G15" s="43">
        <f t="shared" si="3"/>
        <v>-0.87488061127029482</v>
      </c>
      <c r="H15" s="43">
        <f t="shared" si="4"/>
        <v>1.0150907354345753</v>
      </c>
      <c r="I15" s="43">
        <f t="shared" si="4"/>
        <v>1.2416427889207418E-2</v>
      </c>
      <c r="J15" s="44">
        <f t="shared" si="5"/>
        <v>0.82205495484893643</v>
      </c>
    </row>
    <row r="16" spans="1:23" x14ac:dyDescent="0.25">
      <c r="A16" s="78">
        <v>50</v>
      </c>
      <c r="B16" s="78">
        <v>2.681</v>
      </c>
      <c r="C16" s="78">
        <v>4.9109999999999996</v>
      </c>
      <c r="D16" s="79">
        <v>3.31</v>
      </c>
      <c r="E16" s="79">
        <v>4.8289999999999997</v>
      </c>
      <c r="F16" s="43">
        <f t="shared" si="3"/>
        <v>1.2015281757402103</v>
      </c>
      <c r="G16" s="43">
        <f t="shared" si="3"/>
        <v>-0.15663801337153746</v>
      </c>
      <c r="H16" s="43">
        <f t="shared" si="4"/>
        <v>1.0150907354345753</v>
      </c>
      <c r="I16" s="43">
        <f t="shared" si="4"/>
        <v>1.2416427889207418E-2</v>
      </c>
      <c r="J16" s="44">
        <f t="shared" si="5"/>
        <v>6.3338323257699863E-2</v>
      </c>
    </row>
    <row r="17" spans="1:10" x14ac:dyDescent="0.25">
      <c r="A17" s="78">
        <v>50</v>
      </c>
      <c r="B17" s="78">
        <v>2.681</v>
      </c>
      <c r="C17" s="78">
        <v>4.9109999999999996</v>
      </c>
      <c r="D17" s="79">
        <v>3.3620000000000001</v>
      </c>
      <c r="E17" s="79">
        <v>5.1950000000000003</v>
      </c>
      <c r="F17" s="43">
        <f t="shared" si="3"/>
        <v>1.3008595988538685</v>
      </c>
      <c r="G17" s="43">
        <f t="shared" si="3"/>
        <v>0.54250238777459547</v>
      </c>
      <c r="H17" s="43">
        <f t="shared" si="4"/>
        <v>1.0150907354345753</v>
      </c>
      <c r="I17" s="43">
        <f t="shared" si="4"/>
        <v>1.2416427889207418E-2</v>
      </c>
      <c r="J17" s="44">
        <f t="shared" si="5"/>
        <v>0.36265496816756793</v>
      </c>
    </row>
    <row r="18" spans="1:10" x14ac:dyDescent="0.25">
      <c r="A18" s="78">
        <v>50</v>
      </c>
      <c r="B18" s="78">
        <v>5.6689999999999996</v>
      </c>
      <c r="C18" s="78">
        <v>4.9039999999999999</v>
      </c>
      <c r="D18" s="79">
        <v>5.9219999999999997</v>
      </c>
      <c r="E18" s="79">
        <v>4.9160000000000004</v>
      </c>
      <c r="F18" s="43">
        <f t="shared" si="3"/>
        <v>0.48328557784145204</v>
      </c>
      <c r="G18" s="43">
        <f t="shared" si="3"/>
        <v>2.2922636103152733E-2</v>
      </c>
      <c r="H18" s="43">
        <f t="shared" si="4"/>
        <v>1.0150907354345753</v>
      </c>
      <c r="I18" s="43">
        <f t="shared" si="4"/>
        <v>1.2416427889207418E-2</v>
      </c>
      <c r="J18" s="44">
        <f t="shared" si="5"/>
        <v>0.28292710605368149</v>
      </c>
    </row>
    <row r="19" spans="1:10" x14ac:dyDescent="0.25">
      <c r="A19" s="78">
        <v>50</v>
      </c>
      <c r="B19" s="78">
        <v>5.6689999999999996</v>
      </c>
      <c r="C19" s="78">
        <v>4.9039999999999999</v>
      </c>
      <c r="D19" s="79">
        <v>6.1050000000000004</v>
      </c>
      <c r="E19" s="79">
        <v>4.9340000000000002</v>
      </c>
      <c r="F19" s="43">
        <f t="shared" si="3"/>
        <v>0.8328557784145193</v>
      </c>
      <c r="G19" s="43">
        <f t="shared" si="3"/>
        <v>5.7306590257880138E-2</v>
      </c>
      <c r="H19" s="43">
        <f t="shared" si="4"/>
        <v>1.0150907354345753</v>
      </c>
      <c r="I19" s="43">
        <f t="shared" si="4"/>
        <v>1.2416427889207418E-2</v>
      </c>
      <c r="J19" s="44">
        <f t="shared" si="5"/>
        <v>3.5224706237587458E-2</v>
      </c>
    </row>
    <row r="20" spans="1:10" x14ac:dyDescent="0.25">
      <c r="A20" s="78">
        <v>50</v>
      </c>
      <c r="B20" s="78">
        <v>5.6689999999999996</v>
      </c>
      <c r="C20" s="78">
        <v>4.9039999999999999</v>
      </c>
      <c r="D20" s="79">
        <v>6.2359999999999998</v>
      </c>
      <c r="E20" s="79">
        <v>4.5750000000000002</v>
      </c>
      <c r="F20" s="43">
        <f t="shared" si="3"/>
        <v>1.083094555873926</v>
      </c>
      <c r="G20" s="43">
        <f t="shared" si="3"/>
        <v>-0.62846227316141312</v>
      </c>
      <c r="H20" s="43">
        <f t="shared" si="4"/>
        <v>1.0150907354345753</v>
      </c>
      <c r="I20" s="43">
        <f t="shared" si="4"/>
        <v>1.2416427889207418E-2</v>
      </c>
      <c r="J20" s="44">
        <f t="shared" si="5"/>
        <v>0.41535002905467805</v>
      </c>
    </row>
    <row r="21" spans="1:10" x14ac:dyDescent="0.25">
      <c r="A21" s="78">
        <v>50</v>
      </c>
      <c r="B21" s="78">
        <v>5.6689999999999996</v>
      </c>
      <c r="C21" s="78">
        <v>4.9039999999999999</v>
      </c>
      <c r="D21" s="79">
        <v>6.367</v>
      </c>
      <c r="E21" s="79">
        <v>5.0119999999999996</v>
      </c>
      <c r="F21" s="43">
        <f t="shared" si="3"/>
        <v>1.3333333333333341</v>
      </c>
      <c r="G21" s="43">
        <f t="shared" si="3"/>
        <v>0.2063037249283661</v>
      </c>
      <c r="H21" s="43">
        <f t="shared" si="4"/>
        <v>1.0150907354345753</v>
      </c>
      <c r="I21" s="43">
        <f t="shared" si="4"/>
        <v>1.2416427889207418E-2</v>
      </c>
      <c r="J21" s="44">
        <f t="shared" si="5"/>
        <v>0.13887063507050207</v>
      </c>
    </row>
    <row r="22" spans="1:10" x14ac:dyDescent="0.25">
      <c r="A22" s="78">
        <v>50</v>
      </c>
      <c r="B22" s="78">
        <v>5.6689999999999996</v>
      </c>
      <c r="C22" s="78">
        <v>4.9039999999999999</v>
      </c>
      <c r="D22" s="79">
        <v>6.0709999999999997</v>
      </c>
      <c r="E22" s="79">
        <v>5.274</v>
      </c>
      <c r="F22" s="43">
        <f t="shared" si="3"/>
        <v>0.76790830945558775</v>
      </c>
      <c r="G22" s="43">
        <f t="shared" si="3"/>
        <v>0.70678127984718264</v>
      </c>
      <c r="H22" s="43">
        <f t="shared" si="4"/>
        <v>1.0150907354345753</v>
      </c>
      <c r="I22" s="43">
        <f t="shared" si="4"/>
        <v>1.2416427889207418E-2</v>
      </c>
      <c r="J22" s="44">
        <f t="shared" si="5"/>
        <v>0.54324169934747857</v>
      </c>
    </row>
    <row r="23" spans="1:10" x14ac:dyDescent="0.25">
      <c r="A23" s="78">
        <v>50</v>
      </c>
      <c r="B23" s="78">
        <v>2.6760000000000002</v>
      </c>
      <c r="C23" s="78">
        <v>7.8879999999999999</v>
      </c>
      <c r="D23" s="79">
        <v>2.8559999999999999</v>
      </c>
      <c r="E23" s="79">
        <v>8.11</v>
      </c>
      <c r="F23" s="43">
        <f t="shared" si="3"/>
        <v>0.34383954154727742</v>
      </c>
      <c r="G23" s="43">
        <f t="shared" si="3"/>
        <v>0.42406876790830861</v>
      </c>
      <c r="H23" s="43">
        <f t="shared" si="4"/>
        <v>1.0150907354345753</v>
      </c>
      <c r="I23" s="43">
        <f t="shared" si="4"/>
        <v>1.2416427889207418E-2</v>
      </c>
      <c r="J23" s="44">
        <f t="shared" si="5"/>
        <v>0.62003581433832433</v>
      </c>
    </row>
    <row r="24" spans="1:10" x14ac:dyDescent="0.25">
      <c r="A24" s="78">
        <v>50</v>
      </c>
      <c r="B24" s="78">
        <v>2.6760000000000002</v>
      </c>
      <c r="C24" s="78">
        <v>7.8879999999999999</v>
      </c>
      <c r="D24" s="79">
        <v>3.145</v>
      </c>
      <c r="E24" s="79">
        <v>8.0229999999999997</v>
      </c>
      <c r="F24" s="43">
        <f t="shared" si="3"/>
        <v>0.89589302769818513</v>
      </c>
      <c r="G24" s="43">
        <f t="shared" si="3"/>
        <v>0.25787965616045805</v>
      </c>
      <c r="H24" s="43">
        <f t="shared" si="4"/>
        <v>1.0150907354345753</v>
      </c>
      <c r="I24" s="43">
        <f t="shared" si="4"/>
        <v>1.2416427889207418E-2</v>
      </c>
      <c r="J24" s="44">
        <f t="shared" si="5"/>
        <v>7.4460289962953979E-2</v>
      </c>
    </row>
    <row r="25" spans="1:10" x14ac:dyDescent="0.25">
      <c r="A25" s="78">
        <v>50</v>
      </c>
      <c r="B25" s="78">
        <v>2.6760000000000002</v>
      </c>
      <c r="C25" s="78">
        <v>7.8879999999999999</v>
      </c>
      <c r="D25" s="79">
        <v>3.3460000000000001</v>
      </c>
      <c r="E25" s="79">
        <v>7.9269999999999996</v>
      </c>
      <c r="F25" s="43">
        <f t="shared" si="3"/>
        <v>1.2798471824259789</v>
      </c>
      <c r="G25" s="43">
        <f t="shared" si="3"/>
        <v>7.4498567335242988E-2</v>
      </c>
      <c r="H25" s="43">
        <f t="shared" si="4"/>
        <v>1.0150907354345753</v>
      </c>
      <c r="I25" s="43">
        <f t="shared" si="4"/>
        <v>1.2416427889207418E-2</v>
      </c>
      <c r="J25" s="44">
        <f t="shared" si="5"/>
        <v>7.3950168261708943E-2</v>
      </c>
    </row>
    <row r="26" spans="1:10" x14ac:dyDescent="0.25">
      <c r="A26" s="78">
        <v>50</v>
      </c>
      <c r="B26" s="78">
        <v>2.6760000000000002</v>
      </c>
      <c r="C26" s="78">
        <v>7.8879999999999999</v>
      </c>
      <c r="D26" s="79">
        <v>3.4060000000000001</v>
      </c>
      <c r="E26" s="79">
        <v>7.7960000000000003</v>
      </c>
      <c r="F26" s="43">
        <f t="shared" si="3"/>
        <v>1.3944603629417383</v>
      </c>
      <c r="G26" s="43">
        <f t="shared" si="3"/>
        <v>-0.1757402101241636</v>
      </c>
      <c r="H26" s="43">
        <f t="shared" si="4"/>
        <v>1.0150907354345753</v>
      </c>
      <c r="I26" s="43">
        <f t="shared" si="4"/>
        <v>1.2416427889207418E-2</v>
      </c>
      <c r="J26" s="44">
        <f t="shared" si="5"/>
        <v>0.17932423470341832</v>
      </c>
    </row>
    <row r="27" spans="1:10" x14ac:dyDescent="0.25">
      <c r="A27" s="78">
        <v>50</v>
      </c>
      <c r="B27" s="78">
        <v>2.6760000000000002</v>
      </c>
      <c r="C27" s="78">
        <v>7.8879999999999999</v>
      </c>
      <c r="D27" s="79">
        <v>3.6070000000000002</v>
      </c>
      <c r="E27" s="79">
        <v>8.1370000000000005</v>
      </c>
      <c r="F27" s="43">
        <f t="shared" si="3"/>
        <v>1.7784145176695323</v>
      </c>
      <c r="G27" s="43">
        <f t="shared" si="3"/>
        <v>0.47564469914040225</v>
      </c>
      <c r="H27" s="43">
        <f t="shared" si="4"/>
        <v>1.0150907354345753</v>
      </c>
      <c r="I27" s="43">
        <f t="shared" si="4"/>
        <v>1.2416427889207418E-2</v>
      </c>
      <c r="J27" s="44">
        <f t="shared" si="5"/>
        <v>0.79724362781185054</v>
      </c>
    </row>
    <row r="28" spans="1:10" x14ac:dyDescent="0.25">
      <c r="A28" s="78">
        <v>50</v>
      </c>
      <c r="B28" s="78">
        <v>5.6760000000000002</v>
      </c>
      <c r="C28" s="78">
        <v>7.8780000000000001</v>
      </c>
      <c r="D28" s="79">
        <v>6.8390000000000004</v>
      </c>
      <c r="E28" s="79">
        <v>8.0500000000000007</v>
      </c>
      <c r="F28" s="43">
        <f t="shared" ref="F28:F32" si="6">(D28-B28)/(0.01047*$A28)</f>
        <v>2.2215854823304686</v>
      </c>
      <c r="G28" s="43">
        <f t="shared" ref="G28:G32" si="7">(E28-C28)/(0.01047*$A28)</f>
        <v>0.32855778414517783</v>
      </c>
      <c r="H28" s="43">
        <f t="shared" ref="H28:H32" si="8">AVERAGE(F:F)</f>
        <v>1.0150907354345753</v>
      </c>
      <c r="I28" s="43">
        <f t="shared" ref="I28:I32" si="9">AVERAGE(G:G)</f>
        <v>1.2416427889207418E-2</v>
      </c>
      <c r="J28" s="44">
        <f t="shared" ref="J28:J32" si="10">POWER(F28-H28,2)+POWER(G28-I28,2)</f>
        <v>1.5555749314227501</v>
      </c>
    </row>
    <row r="29" spans="1:10" x14ac:dyDescent="0.25">
      <c r="A29" s="78">
        <v>50</v>
      </c>
      <c r="B29" s="78">
        <v>5.6760000000000002</v>
      </c>
      <c r="C29" s="78">
        <v>7.8780000000000001</v>
      </c>
      <c r="D29" s="79">
        <v>6.35</v>
      </c>
      <c r="E29" s="79">
        <v>7.8049999999999997</v>
      </c>
      <c r="F29" s="43">
        <f t="shared" si="6"/>
        <v>1.2874880611270287</v>
      </c>
      <c r="G29" s="43">
        <f t="shared" si="7"/>
        <v>-0.1394460362941746</v>
      </c>
      <c r="H29" s="43">
        <f t="shared" si="8"/>
        <v>1.0150907354345753</v>
      </c>
      <c r="I29" s="43">
        <f t="shared" si="9"/>
        <v>1.2416427889207418E-2</v>
      </c>
      <c r="J29" s="44">
        <f t="shared" si="10"/>
        <v>9.726251107224955E-2</v>
      </c>
    </row>
    <row r="30" spans="1:10" x14ac:dyDescent="0.25">
      <c r="A30" s="78">
        <v>50</v>
      </c>
      <c r="B30" s="78">
        <v>5.6760000000000002</v>
      </c>
      <c r="C30" s="78">
        <v>7.8780000000000001</v>
      </c>
      <c r="D30" s="79">
        <v>6.2270000000000003</v>
      </c>
      <c r="E30" s="79">
        <v>7.8659999999999997</v>
      </c>
      <c r="F30" s="43">
        <f t="shared" si="6"/>
        <v>1.0525310410697233</v>
      </c>
      <c r="G30" s="43">
        <f t="shared" si="7"/>
        <v>-2.2922636103152733E-2</v>
      </c>
      <c r="H30" s="43">
        <f t="shared" si="8"/>
        <v>1.0150907354345753</v>
      </c>
      <c r="I30" s="43">
        <f t="shared" si="9"/>
        <v>1.2416427889207418E-2</v>
      </c>
      <c r="J30" s="44">
        <f t="shared" si="10"/>
        <v>2.6506259299094205E-3</v>
      </c>
    </row>
    <row r="31" spans="1:10" x14ac:dyDescent="0.25">
      <c r="A31" s="78">
        <v>50</v>
      </c>
      <c r="B31" s="78">
        <v>5.6760000000000002</v>
      </c>
      <c r="C31" s="78">
        <v>7.8780000000000001</v>
      </c>
      <c r="D31" s="79">
        <v>6.0869999999999997</v>
      </c>
      <c r="E31" s="79">
        <v>7.7880000000000003</v>
      </c>
      <c r="F31" s="43">
        <f t="shared" si="6"/>
        <v>0.78510028653295061</v>
      </c>
      <c r="G31" s="43">
        <f t="shared" si="7"/>
        <v>-0.17191977077363871</v>
      </c>
      <c r="H31" s="43">
        <f t="shared" si="8"/>
        <v>1.0150907354345753</v>
      </c>
      <c r="I31" s="43">
        <f t="shared" si="9"/>
        <v>1.2416427889207418E-2</v>
      </c>
      <c r="J31" s="44">
        <f t="shared" si="10"/>
        <v>8.6875440723439112E-2</v>
      </c>
    </row>
    <row r="32" spans="1:10" x14ac:dyDescent="0.25">
      <c r="A32" s="78">
        <v>50</v>
      </c>
      <c r="B32" s="78">
        <v>5.6760000000000002</v>
      </c>
      <c r="C32" s="78">
        <v>7.8780000000000001</v>
      </c>
      <c r="D32" s="79">
        <v>6.1139999999999999</v>
      </c>
      <c r="E32" s="79">
        <v>8.18</v>
      </c>
      <c r="F32" s="43">
        <f t="shared" si="6"/>
        <v>0.83667621776504253</v>
      </c>
      <c r="G32" s="43">
        <f t="shared" si="7"/>
        <v>0.5768863419293212</v>
      </c>
      <c r="H32" s="43">
        <f t="shared" si="8"/>
        <v>1.0150907354345753</v>
      </c>
      <c r="I32" s="43">
        <f t="shared" si="9"/>
        <v>1.2416427889207418E-2</v>
      </c>
      <c r="J32" s="44">
        <f t="shared" si="10"/>
        <v>0.3504580239717055</v>
      </c>
    </row>
  </sheetData>
  <mergeCells count="3">
    <mergeCell ref="B1:C1"/>
    <mergeCell ref="D1:E1"/>
    <mergeCell ref="F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8.26953125" style="27" bestFit="1" customWidth="1"/>
    <col min="2" max="3" width="13.26953125" style="31" customWidth="1"/>
    <col min="4" max="5" width="8.7265625" style="77"/>
    <col min="6" max="6" width="8.7265625" style="43"/>
    <col min="7" max="9" width="8.7265625" style="77"/>
    <col min="10" max="10" width="8.7265625" style="27"/>
    <col min="11" max="11" width="8.7265625" style="77"/>
    <col min="12" max="12" width="18.36328125" style="77" bestFit="1" customWidth="1"/>
    <col min="13" max="14" width="7.26953125" style="1" customWidth="1"/>
    <col min="15" max="15" width="11.08984375" style="77" customWidth="1"/>
    <col min="16" max="16" width="10.90625" style="77" customWidth="1"/>
    <col min="17" max="17" width="11.54296875" style="9" customWidth="1"/>
    <col min="18" max="19" width="8.7265625" style="1"/>
    <col min="20" max="16384" width="8.7265625" style="77"/>
  </cols>
  <sheetData>
    <row r="1" spans="1:23" ht="13.5" thickBot="1" x14ac:dyDescent="0.35">
      <c r="A1" s="59" t="s">
        <v>21</v>
      </c>
      <c r="B1" s="63" t="s">
        <v>16</v>
      </c>
      <c r="C1" s="61"/>
      <c r="D1" s="61" t="s">
        <v>15</v>
      </c>
      <c r="E1" s="62"/>
      <c r="F1" s="63" t="s">
        <v>14</v>
      </c>
      <c r="G1" s="61"/>
      <c r="H1" s="61"/>
      <c r="I1" s="61"/>
      <c r="J1" s="62"/>
      <c r="L1" s="55" t="s">
        <v>24</v>
      </c>
      <c r="M1" s="56">
        <f>ROUND(10*M3,0)</f>
        <v>4</v>
      </c>
      <c r="N1" s="77"/>
      <c r="O1" s="39" t="s">
        <v>7</v>
      </c>
      <c r="P1" s="37" t="s">
        <v>13</v>
      </c>
      <c r="Q1" s="38" t="s">
        <v>8</v>
      </c>
      <c r="R1" s="38" t="s">
        <v>9</v>
      </c>
      <c r="S1" s="38" t="s">
        <v>10</v>
      </c>
      <c r="T1" s="48" t="s">
        <v>12</v>
      </c>
      <c r="U1" s="49">
        <v>0.8</v>
      </c>
      <c r="V1" s="33"/>
    </row>
    <row r="2" spans="1:23" ht="13" x14ac:dyDescent="0.3">
      <c r="A2" s="29" t="s">
        <v>22</v>
      </c>
      <c r="B2" s="25" t="s">
        <v>17</v>
      </c>
      <c r="C2" s="25" t="s">
        <v>18</v>
      </c>
      <c r="D2" s="25" t="s">
        <v>19</v>
      </c>
      <c r="E2" s="25" t="s">
        <v>20</v>
      </c>
      <c r="F2" s="26" t="s">
        <v>2</v>
      </c>
      <c r="G2" s="26" t="s">
        <v>1</v>
      </c>
      <c r="H2" s="26" t="s">
        <v>4</v>
      </c>
      <c r="I2" s="26" t="s">
        <v>3</v>
      </c>
      <c r="J2" s="28" t="s">
        <v>0</v>
      </c>
      <c r="L2" s="53" t="s">
        <v>23</v>
      </c>
      <c r="M2" s="54">
        <f>S2*SQRT(Q2*O2/(2*P2-2))</f>
        <v>0.34972787290585677</v>
      </c>
      <c r="N2" s="77"/>
      <c r="O2" s="77">
        <f>SUM(J:J)</f>
        <v>3.1397978548494532</v>
      </c>
      <c r="P2" s="77">
        <f>COUNT(J:J)</f>
        <v>15</v>
      </c>
      <c r="Q2" s="46">
        <f t="shared" ref="Q2" si="0">P2/(P2-1)</f>
        <v>1.0714285714285714</v>
      </c>
      <c r="R2" s="46">
        <f t="shared" ref="R2" si="1">2*P2-1</f>
        <v>29</v>
      </c>
      <c r="S2" s="46">
        <f t="shared" ref="S2" si="2">1/EXP(LN(SQRT(2/(R2-1))) + GAMMALN(R2/2) - GAMMALN((R2-1)/2))</f>
        <v>1.0089666378358868</v>
      </c>
      <c r="T2" s="47">
        <f>SQRT(O2/CHIINV((1-U1)/2,2*P2-2))</f>
        <v>0.28776636472093575</v>
      </c>
      <c r="U2" s="24">
        <f>SQRT(O2/CHIINV(0.5+U1/2,2*P2-2))</f>
        <v>0.40716416032761993</v>
      </c>
      <c r="W2" s="41"/>
    </row>
    <row r="3" spans="1:23" ht="13" x14ac:dyDescent="0.3">
      <c r="A3" s="77">
        <v>50</v>
      </c>
      <c r="B3" s="80">
        <v>5.6550000000000002</v>
      </c>
      <c r="C3" s="80">
        <v>1.92</v>
      </c>
      <c r="D3" s="81">
        <v>5.6</v>
      </c>
      <c r="E3" s="81">
        <v>1.4259999999999999</v>
      </c>
      <c r="F3" s="43">
        <f>(D3-B3)/(0.01047*$A3)</f>
        <v>-0.10506208213944719</v>
      </c>
      <c r="G3" s="43">
        <f>(E3-C3)/(0.01047*$A3)</f>
        <v>-0.94364851957975171</v>
      </c>
      <c r="H3" s="43">
        <f>AVERAGE(F:F)</f>
        <v>0.10518943011779672</v>
      </c>
      <c r="I3" s="43">
        <f>AVERAGE(G:G)</f>
        <v>-0.3028334925183061</v>
      </c>
      <c r="J3" s="44">
        <f>POWER(F3-H3,2)+POWER(G3-I3,2)</f>
        <v>0.45484959731421931</v>
      </c>
      <c r="L3" s="57" t="s">
        <v>25</v>
      </c>
      <c r="M3" s="58">
        <f>SQRT(O2/CHIINV(0.9,2*P2-2))</f>
        <v>0.40716416032761993</v>
      </c>
      <c r="N3" s="68" t="s">
        <v>40</v>
      </c>
    </row>
    <row r="4" spans="1:23" ht="13" x14ac:dyDescent="0.3">
      <c r="A4" s="77">
        <v>50</v>
      </c>
      <c r="B4" s="80">
        <v>5.6550000000000002</v>
      </c>
      <c r="C4" s="80">
        <v>1.92</v>
      </c>
      <c r="D4" s="81">
        <v>5.5590000000000002</v>
      </c>
      <c r="E4" s="81">
        <v>1.6120000000000001</v>
      </c>
      <c r="F4" s="43">
        <f t="shared" ref="F4:G32" si="3">(D4-B4)/(0.01047*$A4)</f>
        <v>-0.18338108882521509</v>
      </c>
      <c r="G4" s="43">
        <f t="shared" si="3"/>
        <v>-0.58834765998089755</v>
      </c>
      <c r="H4" s="43">
        <f t="shared" ref="H4:I32" si="4">AVERAGE(F:F)</f>
        <v>0.10518943011779672</v>
      </c>
      <c r="I4" s="43">
        <f t="shared" si="4"/>
        <v>-0.3028334925183061</v>
      </c>
      <c r="J4" s="44">
        <f t="shared" ref="J4:J32" si="5">POWER(F4-H4,2)+POWER(G4-I4,2)</f>
        <v>0.16479128422489583</v>
      </c>
      <c r="L4" s="69" t="s">
        <v>29</v>
      </c>
      <c r="M4" s="77" t="s">
        <v>35</v>
      </c>
      <c r="N4" s="71" t="s">
        <v>32</v>
      </c>
      <c r="O4" s="70" t="s">
        <v>36</v>
      </c>
    </row>
    <row r="5" spans="1:23" x14ac:dyDescent="0.25">
      <c r="A5" s="77">
        <v>50</v>
      </c>
      <c r="B5" s="80">
        <v>5.6550000000000002</v>
      </c>
      <c r="C5" s="80">
        <v>1.92</v>
      </c>
      <c r="D5" s="81">
        <v>5.7060000000000004</v>
      </c>
      <c r="E5" s="81">
        <v>1.6419999999999999</v>
      </c>
      <c r="F5" s="43">
        <f t="shared" si="3"/>
        <v>9.742120343839572E-2</v>
      </c>
      <c r="G5" s="43">
        <f t="shared" si="3"/>
        <v>-0.53104106972301823</v>
      </c>
      <c r="H5" s="43">
        <f t="shared" si="4"/>
        <v>0.10518943011779672</v>
      </c>
      <c r="I5" s="43">
        <f t="shared" si="4"/>
        <v>-0.3028334925183061</v>
      </c>
      <c r="J5" s="44">
        <f t="shared" si="5"/>
        <v>5.2139043639387206E-2</v>
      </c>
    </row>
    <row r="6" spans="1:23" x14ac:dyDescent="0.25">
      <c r="A6" s="77">
        <v>50</v>
      </c>
      <c r="B6" s="80">
        <v>5.6550000000000002</v>
      </c>
      <c r="C6" s="80">
        <v>1.92</v>
      </c>
      <c r="D6" s="81">
        <v>5.7990000000000004</v>
      </c>
      <c r="E6" s="81">
        <v>1.7649999999999999</v>
      </c>
      <c r="F6" s="43">
        <f t="shared" si="3"/>
        <v>0.27507163323782263</v>
      </c>
      <c r="G6" s="43">
        <f t="shared" si="3"/>
        <v>-0.29608404966571161</v>
      </c>
      <c r="H6" s="43">
        <f t="shared" si="4"/>
        <v>0.10518943011779672</v>
      </c>
      <c r="I6" s="43">
        <f t="shared" si="4"/>
        <v>-0.3028334925183061</v>
      </c>
      <c r="J6" s="44">
        <f t="shared" si="5"/>
        <v>2.8905517915734182E-2</v>
      </c>
    </row>
    <row r="7" spans="1:23" x14ac:dyDescent="0.25">
      <c r="A7" s="77">
        <v>50</v>
      </c>
      <c r="B7" s="80">
        <v>5.6550000000000002</v>
      </c>
      <c r="C7" s="80">
        <v>1.92</v>
      </c>
      <c r="D7" s="81">
        <v>5.5419999999999998</v>
      </c>
      <c r="E7" s="81">
        <v>2.173</v>
      </c>
      <c r="F7" s="43">
        <f t="shared" si="3"/>
        <v>-0.21585482330468089</v>
      </c>
      <c r="G7" s="43">
        <f t="shared" si="3"/>
        <v>0.48328557784145204</v>
      </c>
      <c r="H7" s="43">
        <f t="shared" si="4"/>
        <v>0.10518943011779672</v>
      </c>
      <c r="I7" s="43">
        <f t="shared" si="4"/>
        <v>-0.3028334925183061</v>
      </c>
      <c r="J7" s="44">
        <f t="shared" si="5"/>
        <v>0.72105260543888638</v>
      </c>
    </row>
    <row r="8" spans="1:23" x14ac:dyDescent="0.25">
      <c r="A8" s="77">
        <v>50</v>
      </c>
      <c r="B8" s="82">
        <v>5.6529999999999996</v>
      </c>
      <c r="C8" s="82">
        <v>4.8879999999999999</v>
      </c>
      <c r="D8" s="83">
        <v>5.46</v>
      </c>
      <c r="E8" s="83">
        <v>4.633</v>
      </c>
      <c r="F8" s="43">
        <f t="shared" si="3"/>
        <v>-0.36867239732569174</v>
      </c>
      <c r="G8" s="43">
        <f t="shared" si="3"/>
        <v>-0.48710601719197688</v>
      </c>
      <c r="H8" s="43">
        <f t="shared" si="4"/>
        <v>0.10518943011779672</v>
      </c>
      <c r="I8" s="43">
        <f t="shared" si="4"/>
        <v>-0.3028334925183061</v>
      </c>
      <c r="J8" s="44">
        <f t="shared" si="5"/>
        <v>0.25850139485769108</v>
      </c>
    </row>
    <row r="9" spans="1:23" x14ac:dyDescent="0.25">
      <c r="A9" s="77">
        <v>50</v>
      </c>
      <c r="B9" s="82">
        <v>5.6529999999999996</v>
      </c>
      <c r="C9" s="82">
        <v>4.8879999999999999</v>
      </c>
      <c r="D9" s="83">
        <v>5.5469999999999997</v>
      </c>
      <c r="E9" s="83">
        <v>4.8959999999999999</v>
      </c>
      <c r="F9" s="43">
        <f t="shared" si="3"/>
        <v>-0.20248328557784123</v>
      </c>
      <c r="G9" s="43">
        <f t="shared" si="3"/>
        <v>1.5281757402101257E-2</v>
      </c>
      <c r="H9" s="43">
        <f t="shared" si="4"/>
        <v>0.10518943011779672</v>
      </c>
      <c r="I9" s="43">
        <f t="shared" si="4"/>
        <v>-0.3028334925183061</v>
      </c>
      <c r="J9" s="44">
        <f t="shared" si="5"/>
        <v>0.19585981221545207</v>
      </c>
    </row>
    <row r="10" spans="1:23" x14ac:dyDescent="0.25">
      <c r="A10" s="77">
        <v>50</v>
      </c>
      <c r="B10" s="82">
        <v>5.6529999999999996</v>
      </c>
      <c r="C10" s="82">
        <v>4.8879999999999999</v>
      </c>
      <c r="D10" s="83">
        <v>5.6420000000000003</v>
      </c>
      <c r="E10" s="83">
        <v>4.8019999999999996</v>
      </c>
      <c r="F10" s="43">
        <f t="shared" si="3"/>
        <v>-2.1012416427887742E-2</v>
      </c>
      <c r="G10" s="43">
        <f t="shared" si="3"/>
        <v>-0.16427889207258892</v>
      </c>
      <c r="H10" s="43">
        <f t="shared" si="4"/>
        <v>0.10518943011779672</v>
      </c>
      <c r="I10" s="43">
        <f t="shared" si="4"/>
        <v>-0.3028334925183061</v>
      </c>
      <c r="J10" s="44">
        <f t="shared" si="5"/>
        <v>3.5124283376212817E-2</v>
      </c>
    </row>
    <row r="11" spans="1:23" x14ac:dyDescent="0.25">
      <c r="A11" s="77">
        <v>50</v>
      </c>
      <c r="B11" s="82">
        <v>5.6529999999999996</v>
      </c>
      <c r="C11" s="82">
        <v>4.8879999999999999</v>
      </c>
      <c r="D11" s="83">
        <v>5.7</v>
      </c>
      <c r="E11" s="83">
        <v>4.8550000000000004</v>
      </c>
      <c r="F11" s="43">
        <f t="shared" si="3"/>
        <v>8.9780324737345943E-2</v>
      </c>
      <c r="G11" s="43">
        <f t="shared" si="3"/>
        <v>-6.3037249283666622E-2</v>
      </c>
      <c r="H11" s="43">
        <f t="shared" si="4"/>
        <v>0.10518943011779672</v>
      </c>
      <c r="I11" s="43">
        <f t="shared" si="4"/>
        <v>-0.3028334925183061</v>
      </c>
      <c r="J11" s="44">
        <f t="shared" si="5"/>
        <v>5.7739678798072222E-2</v>
      </c>
    </row>
    <row r="12" spans="1:23" x14ac:dyDescent="0.25">
      <c r="A12" s="77">
        <v>50</v>
      </c>
      <c r="B12" s="82">
        <v>5.6529999999999996</v>
      </c>
      <c r="C12" s="82">
        <v>4.8879999999999999</v>
      </c>
      <c r="D12" s="83">
        <v>5.6769999999999996</v>
      </c>
      <c r="E12" s="83">
        <v>4.8550000000000004</v>
      </c>
      <c r="F12" s="43">
        <f t="shared" si="3"/>
        <v>4.5845272206303772E-2</v>
      </c>
      <c r="G12" s="43">
        <f t="shared" si="3"/>
        <v>-6.3037249283666622E-2</v>
      </c>
      <c r="H12" s="43">
        <f t="shared" si="4"/>
        <v>0.10518943011779672</v>
      </c>
      <c r="I12" s="43">
        <f t="shared" si="4"/>
        <v>-0.3028334925183061</v>
      </c>
      <c r="J12" s="44">
        <f t="shared" si="5"/>
        <v>6.1023967347670599E-2</v>
      </c>
    </row>
    <row r="13" spans="1:23" x14ac:dyDescent="0.25">
      <c r="A13" s="77">
        <v>50</v>
      </c>
      <c r="B13" s="84">
        <v>5.6580000000000004</v>
      </c>
      <c r="C13" s="84">
        <v>7.8620000000000001</v>
      </c>
      <c r="D13" s="85">
        <v>5.7</v>
      </c>
      <c r="E13" s="85">
        <v>7.4909999999999997</v>
      </c>
      <c r="F13" s="43">
        <f t="shared" si="3"/>
        <v>8.0229226361031178E-2</v>
      </c>
      <c r="G13" s="43">
        <f t="shared" si="3"/>
        <v>-0.70869149952244592</v>
      </c>
      <c r="H13" s="43">
        <f t="shared" si="4"/>
        <v>0.10518943011779672</v>
      </c>
      <c r="I13" s="43">
        <f t="shared" si="4"/>
        <v>-0.3028334925183061</v>
      </c>
      <c r="J13" s="44">
        <f t="shared" si="5"/>
        <v>0.16534373362095167</v>
      </c>
    </row>
    <row r="14" spans="1:23" x14ac:dyDescent="0.25">
      <c r="A14" s="77">
        <v>50</v>
      </c>
      <c r="B14" s="84">
        <v>5.6580000000000004</v>
      </c>
      <c r="C14" s="84">
        <v>7.8620000000000001</v>
      </c>
      <c r="D14" s="85">
        <v>5.8170000000000002</v>
      </c>
      <c r="E14" s="85">
        <v>7.5430000000000001</v>
      </c>
      <c r="F14" s="43">
        <f t="shared" si="3"/>
        <v>0.30372492836676185</v>
      </c>
      <c r="G14" s="43">
        <f t="shared" si="3"/>
        <v>-0.60936007640878698</v>
      </c>
      <c r="H14" s="43">
        <f t="shared" si="4"/>
        <v>0.10518943011779672</v>
      </c>
      <c r="I14" s="43">
        <f t="shared" si="4"/>
        <v>-0.3028334925183061</v>
      </c>
      <c r="J14" s="44">
        <f t="shared" si="5"/>
        <v>0.13337489069653286</v>
      </c>
    </row>
    <row r="15" spans="1:23" x14ac:dyDescent="0.25">
      <c r="A15" s="77">
        <v>50</v>
      </c>
      <c r="B15" s="84">
        <v>5.6580000000000004</v>
      </c>
      <c r="C15" s="84">
        <v>7.8620000000000001</v>
      </c>
      <c r="D15" s="85">
        <v>5.9109999999999996</v>
      </c>
      <c r="E15" s="85">
        <v>7.69</v>
      </c>
      <c r="F15" s="43">
        <f t="shared" si="3"/>
        <v>0.48328557784145032</v>
      </c>
      <c r="G15" s="43">
        <f t="shared" si="3"/>
        <v>-0.32855778414517617</v>
      </c>
      <c r="H15" s="43">
        <f t="shared" si="4"/>
        <v>0.10518943011779672</v>
      </c>
      <c r="I15" s="43">
        <f t="shared" si="4"/>
        <v>-0.3028334925183061</v>
      </c>
      <c r="J15" s="44">
        <f t="shared" si="5"/>
        <v>0.14361843610317115</v>
      </c>
    </row>
    <row r="16" spans="1:23" x14ac:dyDescent="0.25">
      <c r="A16" s="77">
        <v>50</v>
      </c>
      <c r="B16" s="84">
        <v>5.6580000000000004</v>
      </c>
      <c r="C16" s="84">
        <v>7.8620000000000001</v>
      </c>
      <c r="D16" s="85">
        <v>5.9569999999999999</v>
      </c>
      <c r="E16" s="85">
        <v>7.8120000000000003</v>
      </c>
      <c r="F16" s="43">
        <f t="shared" si="3"/>
        <v>0.57115568290353291</v>
      </c>
      <c r="G16" s="43">
        <f t="shared" si="3"/>
        <v>-9.5510983763132426E-2</v>
      </c>
      <c r="H16" s="43">
        <f t="shared" si="4"/>
        <v>0.10518943011779672</v>
      </c>
      <c r="I16" s="43">
        <f t="shared" si="4"/>
        <v>-0.3028334925183061</v>
      </c>
      <c r="J16" s="44">
        <f t="shared" si="5"/>
        <v>0.26010717137171968</v>
      </c>
    </row>
    <row r="17" spans="1:10" x14ac:dyDescent="0.25">
      <c r="A17" s="77">
        <v>50</v>
      </c>
      <c r="B17" s="84">
        <v>5.6580000000000004</v>
      </c>
      <c r="C17" s="84">
        <v>7.8620000000000001</v>
      </c>
      <c r="D17" s="85">
        <v>6.0389999999999997</v>
      </c>
      <c r="E17" s="85">
        <v>7.7770000000000001</v>
      </c>
      <c r="F17" s="43">
        <f t="shared" si="3"/>
        <v>0.7277936962750704</v>
      </c>
      <c r="G17" s="43">
        <f t="shared" si="3"/>
        <v>-0.16236867239732564</v>
      </c>
      <c r="H17" s="43">
        <f t="shared" si="4"/>
        <v>0.10518943011779672</v>
      </c>
      <c r="I17" s="43">
        <f t="shared" si="4"/>
        <v>-0.3028334925183061</v>
      </c>
      <c r="J17" s="44">
        <f t="shared" si="5"/>
        <v>0.40736643792885674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 s="77"/>
      <c r="B28" s="77"/>
      <c r="C28" s="77"/>
      <c r="F28" s="77"/>
      <c r="J28" s="77"/>
    </row>
    <row r="29" spans="1:10" x14ac:dyDescent="0.25">
      <c r="A29" s="77"/>
      <c r="B29" s="77"/>
      <c r="C29" s="77"/>
      <c r="F29" s="77"/>
      <c r="J29" s="77"/>
    </row>
    <row r="30" spans="1:10" x14ac:dyDescent="0.25">
      <c r="A30" s="77"/>
      <c r="B30" s="77"/>
      <c r="C30" s="77"/>
      <c r="F30" s="77"/>
      <c r="J30" s="77"/>
    </row>
    <row r="31" spans="1:10" x14ac:dyDescent="0.25">
      <c r="A31" s="77"/>
      <c r="B31" s="77"/>
      <c r="C31" s="77"/>
      <c r="F31" s="77"/>
      <c r="J31" s="77"/>
    </row>
    <row r="32" spans="1:10" x14ac:dyDescent="0.25">
      <c r="A32" s="77"/>
      <c r="B32" s="77"/>
      <c r="C32" s="77"/>
      <c r="F32" s="77"/>
      <c r="J32" s="77"/>
    </row>
  </sheetData>
  <mergeCells count="3">
    <mergeCell ref="B1:C1"/>
    <mergeCell ref="D1:E1"/>
    <mergeCell ref="F1:J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pane ySplit="2" topLeftCell="A3" activePane="bottomLeft" state="frozen"/>
      <selection pane="bottomLeft" activeCell="F3" sqref="F3:G27"/>
    </sheetView>
  </sheetViews>
  <sheetFormatPr defaultRowHeight="12.5" x14ac:dyDescent="0.25"/>
  <cols>
    <col min="1" max="1" width="8.26953125" style="27" bestFit="1" customWidth="1"/>
    <col min="2" max="3" width="13.26953125" style="31" customWidth="1"/>
    <col min="4" max="5" width="8.7265625" style="6"/>
    <col min="6" max="6" width="8.7265625" style="5"/>
    <col min="7" max="7" width="8.7265625" style="6"/>
    <col min="8" max="9" width="8.7265625" style="40"/>
    <col min="10" max="10" width="8.7265625" style="27"/>
    <col min="11" max="11" width="8.7265625" style="6"/>
    <col min="12" max="12" width="18.36328125" style="40" bestFit="1" customWidth="1"/>
    <col min="13" max="14" width="7.26953125" style="1" customWidth="1"/>
    <col min="15" max="15" width="11.08984375" style="6" customWidth="1"/>
    <col min="16" max="16" width="10.90625" style="6" customWidth="1"/>
    <col min="17" max="17" width="11.54296875" style="9" customWidth="1"/>
    <col min="18" max="19" width="8.7265625" style="1"/>
    <col min="20" max="16384" width="8.7265625" style="6"/>
  </cols>
  <sheetData>
    <row r="1" spans="1:23" ht="13.5" thickBot="1" x14ac:dyDescent="0.35">
      <c r="A1" s="59" t="s">
        <v>21</v>
      </c>
      <c r="B1" s="63" t="s">
        <v>16</v>
      </c>
      <c r="C1" s="61"/>
      <c r="D1" s="61" t="s">
        <v>15</v>
      </c>
      <c r="E1" s="62"/>
      <c r="F1" s="63" t="s">
        <v>14</v>
      </c>
      <c r="G1" s="61"/>
      <c r="H1" s="61"/>
      <c r="I1" s="61"/>
      <c r="J1" s="62"/>
      <c r="L1" s="55" t="s">
        <v>24</v>
      </c>
      <c r="M1" s="56">
        <f>ROUND(10*M3,0)</f>
        <v>6</v>
      </c>
      <c r="N1"/>
      <c r="O1" s="39" t="s">
        <v>7</v>
      </c>
      <c r="P1" s="37" t="s">
        <v>13</v>
      </c>
      <c r="Q1" s="38" t="s">
        <v>8</v>
      </c>
      <c r="R1" s="38" t="s">
        <v>9</v>
      </c>
      <c r="S1" s="38" t="s">
        <v>10</v>
      </c>
      <c r="T1" s="48" t="s">
        <v>12</v>
      </c>
      <c r="U1" s="49">
        <v>0.8</v>
      </c>
      <c r="V1" s="33"/>
    </row>
    <row r="2" spans="1:23" ht="13" x14ac:dyDescent="0.3">
      <c r="A2" s="29" t="s">
        <v>22</v>
      </c>
      <c r="B2" s="25" t="s">
        <v>17</v>
      </c>
      <c r="C2" s="25" t="s">
        <v>18</v>
      </c>
      <c r="D2" s="25" t="s">
        <v>19</v>
      </c>
      <c r="E2" s="25" t="s">
        <v>20</v>
      </c>
      <c r="F2" s="26" t="s">
        <v>2</v>
      </c>
      <c r="G2" s="26" t="s">
        <v>1</v>
      </c>
      <c r="H2" s="26" t="s">
        <v>4</v>
      </c>
      <c r="I2" s="26" t="s">
        <v>3</v>
      </c>
      <c r="J2" s="28" t="s">
        <v>0</v>
      </c>
      <c r="L2" s="53" t="s">
        <v>23</v>
      </c>
      <c r="M2" s="54">
        <f>S2*SQRT(Q2*O2/(2*P2-2))</f>
        <v>0.56531309627081805</v>
      </c>
      <c r="N2"/>
      <c r="O2" s="6">
        <f>SUM(J:J)</f>
        <v>14.57360485089978</v>
      </c>
      <c r="P2" s="6">
        <f>COUNT(J:J)</f>
        <v>25</v>
      </c>
      <c r="Q2" s="46">
        <f t="shared" ref="Q2" si="0">P2/(P2-1)</f>
        <v>1.0416666666666667</v>
      </c>
      <c r="R2" s="46">
        <f t="shared" ref="R2" si="1">2*P2-1</f>
        <v>49</v>
      </c>
      <c r="S2" s="46">
        <f t="shared" ref="S2" si="2">1/EXP(LN(SQRT(2/(R2-1))) + GAMMALN(R2/2) - GAMMALN((R2-1)/2))</f>
        <v>1.005221541749022</v>
      </c>
      <c r="T2" s="47">
        <f>SQRT(O2/CHIINV((1-U1)/2,2*P2-2))</f>
        <v>0.48916040020712925</v>
      </c>
      <c r="U2" s="24">
        <f>SQRT(O2/CHIINV(0.5+U1/2,2*P2-2))</f>
        <v>0.63670651901611675</v>
      </c>
      <c r="W2" s="41"/>
    </row>
    <row r="3" spans="1:23" x14ac:dyDescent="0.25">
      <c r="A3" s="72">
        <v>50</v>
      </c>
      <c r="B3" s="72">
        <v>5.6689999999999996</v>
      </c>
      <c r="C3" s="72">
        <v>1.9179999999999999</v>
      </c>
      <c r="D3" s="73">
        <v>5.4930000000000003</v>
      </c>
      <c r="E3" s="73">
        <v>2.6190000000000002</v>
      </c>
      <c r="F3" s="5">
        <f>(D3-B3)/(0.01047*$A3)</f>
        <v>-0.33619866284622596</v>
      </c>
      <c r="G3" s="5">
        <f>(E3-C3)/(0.01047*$A3)</f>
        <v>1.3390639923591219</v>
      </c>
      <c r="H3" s="43">
        <f>AVERAGE(F:F)</f>
        <v>4.7373447946516085E-3</v>
      </c>
      <c r="I3" s="43">
        <f>AVERAGE(G:G)</f>
        <v>0.30189111747851</v>
      </c>
      <c r="J3" s="7">
        <f>POWER(F3-H3,2)+POWER(G3-I3,2)</f>
        <v>1.191964933694214</v>
      </c>
      <c r="L3" s="57" t="s">
        <v>25</v>
      </c>
      <c r="M3" s="58">
        <f>SQRT(O2/CHIINV(0.9,2*P2-2))</f>
        <v>0.63670651901611675</v>
      </c>
      <c r="N3" s="52"/>
    </row>
    <row r="4" spans="1:23" ht="13" x14ac:dyDescent="0.3">
      <c r="A4" s="72">
        <v>50</v>
      </c>
      <c r="B4" s="72">
        <v>5.6689999999999996</v>
      </c>
      <c r="C4" s="72">
        <v>1.9179999999999999</v>
      </c>
      <c r="D4" s="73">
        <v>5.5289999999999999</v>
      </c>
      <c r="E4" s="73">
        <v>2.2610000000000001</v>
      </c>
      <c r="F4" s="43">
        <f t="shared" ref="F4:F32" si="3">(D4-B4)/(0.01047*$A4)</f>
        <v>-0.26743075453677112</v>
      </c>
      <c r="G4" s="43">
        <f t="shared" ref="G4:G32" si="4">(E4-C4)/(0.01047*$A4)</f>
        <v>0.65520534861509117</v>
      </c>
      <c r="H4" s="43">
        <f t="shared" ref="H4:H32" si="5">AVERAGE(F:F)</f>
        <v>4.7373447946516085E-3</v>
      </c>
      <c r="I4" s="43">
        <f t="shared" ref="I4:I32" si="6">AVERAGE(G:G)</f>
        <v>0.30189111747851</v>
      </c>
      <c r="J4" s="44">
        <f t="shared" ref="J4:J32" si="7">POWER(F4-H4,2)+POWER(G4-I4,2)</f>
        <v>0.1989064202173127</v>
      </c>
      <c r="L4" s="69" t="s">
        <v>29</v>
      </c>
      <c r="M4" s="6" t="s">
        <v>30</v>
      </c>
      <c r="N4" s="71" t="s">
        <v>32</v>
      </c>
      <c r="O4" s="70" t="s">
        <v>31</v>
      </c>
    </row>
    <row r="5" spans="1:23" x14ac:dyDescent="0.25">
      <c r="A5" s="72">
        <v>50</v>
      </c>
      <c r="B5" s="72">
        <v>5.6689999999999996</v>
      </c>
      <c r="C5" s="72">
        <v>1.9179999999999999</v>
      </c>
      <c r="D5" s="73">
        <v>5.258</v>
      </c>
      <c r="E5" s="73">
        <v>1.982</v>
      </c>
      <c r="F5" s="43">
        <f t="shared" si="3"/>
        <v>-0.78510028653295061</v>
      </c>
      <c r="G5" s="43">
        <f t="shared" si="4"/>
        <v>0.12225405921681005</v>
      </c>
      <c r="H5" s="43">
        <f t="shared" si="5"/>
        <v>4.7373447946516085E-3</v>
      </c>
      <c r="I5" s="43">
        <f t="shared" si="6"/>
        <v>0.30189111747851</v>
      </c>
      <c r="J5" s="44">
        <f t="shared" si="7"/>
        <v>0.65611295656211466</v>
      </c>
    </row>
    <row r="6" spans="1:23" x14ac:dyDescent="0.25">
      <c r="A6" s="72">
        <v>50</v>
      </c>
      <c r="B6" s="72">
        <v>5.6689999999999996</v>
      </c>
      <c r="C6" s="72">
        <v>1.9179999999999999</v>
      </c>
      <c r="D6" s="73">
        <v>5.415</v>
      </c>
      <c r="E6" s="73">
        <v>2.052</v>
      </c>
      <c r="F6" s="43">
        <f t="shared" si="3"/>
        <v>-0.4851957975167136</v>
      </c>
      <c r="G6" s="43">
        <f t="shared" si="4"/>
        <v>0.25596943648519604</v>
      </c>
      <c r="H6" s="43">
        <f t="shared" si="5"/>
        <v>4.7373447946516085E-3</v>
      </c>
      <c r="I6" s="43">
        <f t="shared" si="6"/>
        <v>0.30189111747851</v>
      </c>
      <c r="J6" s="44">
        <f t="shared" si="7"/>
        <v>0.24214328472034011</v>
      </c>
    </row>
    <row r="7" spans="1:23" x14ac:dyDescent="0.25">
      <c r="A7" s="72">
        <v>50</v>
      </c>
      <c r="B7" s="72">
        <v>5.6689999999999996</v>
      </c>
      <c r="C7" s="72">
        <v>1.9179999999999999</v>
      </c>
      <c r="D7" s="73">
        <v>5.7560000000000002</v>
      </c>
      <c r="E7" s="73">
        <v>1.8420000000000001</v>
      </c>
      <c r="F7" s="43">
        <f t="shared" si="3"/>
        <v>0.16618911174785223</v>
      </c>
      <c r="G7" s="43">
        <f t="shared" si="4"/>
        <v>-0.1451766953199615</v>
      </c>
      <c r="H7" s="43">
        <f t="shared" si="5"/>
        <v>4.7373447946516085E-3</v>
      </c>
      <c r="I7" s="43">
        <f t="shared" si="6"/>
        <v>0.30189111747851</v>
      </c>
      <c r="J7" s="44">
        <f t="shared" si="7"/>
        <v>0.2259363022927198</v>
      </c>
    </row>
    <row r="8" spans="1:23" x14ac:dyDescent="0.25">
      <c r="A8" s="72">
        <v>50</v>
      </c>
      <c r="B8" s="72">
        <v>2.6760000000000002</v>
      </c>
      <c r="C8" s="72">
        <v>4.9109999999999996</v>
      </c>
      <c r="D8" s="73">
        <v>2.2010000000000001</v>
      </c>
      <c r="E8" s="73">
        <v>5.0369999999999999</v>
      </c>
      <c r="F8" s="43">
        <f t="shared" si="3"/>
        <v>-0.90735434574976148</v>
      </c>
      <c r="G8" s="43">
        <f t="shared" si="4"/>
        <v>0.24068767908309521</v>
      </c>
      <c r="H8" s="43">
        <f t="shared" si="5"/>
        <v>4.7373447946516085E-3</v>
      </c>
      <c r="I8" s="43">
        <f t="shared" si="6"/>
        <v>0.30189111747851</v>
      </c>
      <c r="J8" s="44">
        <f t="shared" si="7"/>
        <v>0.83565711283158672</v>
      </c>
    </row>
    <row r="9" spans="1:23" x14ac:dyDescent="0.25">
      <c r="A9" s="72">
        <v>50</v>
      </c>
      <c r="B9" s="72">
        <v>2.6760000000000002</v>
      </c>
      <c r="C9" s="72">
        <v>4.9109999999999996</v>
      </c>
      <c r="D9" s="73">
        <v>2.8119999999999998</v>
      </c>
      <c r="E9" s="73">
        <v>4.4000000000000004</v>
      </c>
      <c r="F9" s="43">
        <f t="shared" si="3"/>
        <v>0.2597898758357205</v>
      </c>
      <c r="G9" s="43">
        <f t="shared" si="4"/>
        <v>-0.97612225405921538</v>
      </c>
      <c r="H9" s="43">
        <f t="shared" si="5"/>
        <v>4.7373447946516085E-3</v>
      </c>
      <c r="I9" s="43">
        <f t="shared" si="6"/>
        <v>0.30189111747851</v>
      </c>
      <c r="J9" s="44">
        <f t="shared" si="7"/>
        <v>1.6983699714196792</v>
      </c>
    </row>
    <row r="10" spans="1:23" x14ac:dyDescent="0.25">
      <c r="A10" s="72">
        <v>50</v>
      </c>
      <c r="B10" s="72">
        <v>2.6760000000000002</v>
      </c>
      <c r="C10" s="72">
        <v>4.9109999999999996</v>
      </c>
      <c r="D10" s="73">
        <v>2.7429999999999999</v>
      </c>
      <c r="E10" s="73">
        <v>5.1070000000000002</v>
      </c>
      <c r="F10" s="43">
        <f t="shared" si="3"/>
        <v>0.12798471824259738</v>
      </c>
      <c r="G10" s="43">
        <f t="shared" si="4"/>
        <v>0.37440305635148163</v>
      </c>
      <c r="H10" s="43">
        <f t="shared" si="5"/>
        <v>4.7373447946516085E-3</v>
      </c>
      <c r="I10" s="43">
        <f t="shared" si="6"/>
        <v>0.30189111747851</v>
      </c>
      <c r="J10" s="44">
        <f t="shared" si="7"/>
        <v>2.0447896340934985E-2</v>
      </c>
    </row>
    <row r="11" spans="1:23" x14ac:dyDescent="0.25">
      <c r="A11" s="72">
        <v>50</v>
      </c>
      <c r="B11" s="72">
        <v>2.6760000000000002</v>
      </c>
      <c r="C11" s="72">
        <v>4.9109999999999996</v>
      </c>
      <c r="D11" s="73">
        <v>2.9079999999999999</v>
      </c>
      <c r="E11" s="73">
        <v>5.0640000000000001</v>
      </c>
      <c r="F11" s="43">
        <f t="shared" si="3"/>
        <v>0.44317096466093558</v>
      </c>
      <c r="G11" s="43">
        <f t="shared" si="4"/>
        <v>0.29226361031518716</v>
      </c>
      <c r="H11" s="43">
        <f t="shared" si="5"/>
        <v>4.7373447946516085E-3</v>
      </c>
      <c r="I11" s="43">
        <f t="shared" si="6"/>
        <v>0.30189111747851</v>
      </c>
      <c r="J11" s="44">
        <f t="shared" si="7"/>
        <v>0.19231672792323304</v>
      </c>
    </row>
    <row r="12" spans="1:23" x14ac:dyDescent="0.25">
      <c r="A12" s="72">
        <v>50</v>
      </c>
      <c r="B12" s="72">
        <v>2.6760000000000002</v>
      </c>
      <c r="C12" s="72">
        <v>4.9109999999999996</v>
      </c>
      <c r="D12" s="73">
        <v>2.8740000000000001</v>
      </c>
      <c r="E12" s="73">
        <v>5.6749999999999998</v>
      </c>
      <c r="F12" s="43">
        <f t="shared" si="3"/>
        <v>0.37822349570200564</v>
      </c>
      <c r="G12" s="43">
        <f t="shared" si="4"/>
        <v>1.4594078319006691</v>
      </c>
      <c r="H12" s="43">
        <f t="shared" si="5"/>
        <v>4.7373447946516085E-3</v>
      </c>
      <c r="I12" s="43">
        <f t="shared" si="6"/>
        <v>0.30189111747851</v>
      </c>
      <c r="J12" s="44">
        <f t="shared" si="7"/>
        <v>1.4793368490862613</v>
      </c>
    </row>
    <row r="13" spans="1:23" x14ac:dyDescent="0.25">
      <c r="A13" s="72">
        <v>50</v>
      </c>
      <c r="B13" s="72">
        <v>5.649</v>
      </c>
      <c r="C13" s="72">
        <v>4.9039999999999999</v>
      </c>
      <c r="D13" s="73">
        <v>5.8259999999999996</v>
      </c>
      <c r="E13" s="73">
        <v>4.4089999999999998</v>
      </c>
      <c r="F13" s="43">
        <f t="shared" si="3"/>
        <v>0.33810888252148924</v>
      </c>
      <c r="G13" s="43">
        <f t="shared" si="4"/>
        <v>-0.94555873925501455</v>
      </c>
      <c r="H13" s="43">
        <f t="shared" si="5"/>
        <v>4.7373447946516085E-3</v>
      </c>
      <c r="I13" s="43">
        <f t="shared" si="6"/>
        <v>0.30189111747851</v>
      </c>
      <c r="J13" s="44">
        <f t="shared" si="7"/>
        <v>1.6672677272308474</v>
      </c>
    </row>
    <row r="14" spans="1:23" x14ac:dyDescent="0.25">
      <c r="A14" s="72">
        <v>50</v>
      </c>
      <c r="B14" s="72">
        <v>5.649</v>
      </c>
      <c r="C14" s="72">
        <v>4.9039999999999999</v>
      </c>
      <c r="D14" s="73">
        <v>5.45</v>
      </c>
      <c r="E14" s="73">
        <v>5.0199999999999996</v>
      </c>
      <c r="F14" s="43">
        <f t="shared" si="3"/>
        <v>-0.38013371537726809</v>
      </c>
      <c r="G14" s="43">
        <f t="shared" si="4"/>
        <v>0.22158548233046738</v>
      </c>
      <c r="H14" s="43">
        <f t="shared" si="5"/>
        <v>4.7373447946516085E-3</v>
      </c>
      <c r="I14" s="43">
        <f t="shared" si="6"/>
        <v>0.30189111747851</v>
      </c>
      <c r="J14" s="44">
        <f t="shared" si="7"/>
        <v>0.15457472799438796</v>
      </c>
    </row>
    <row r="15" spans="1:23" x14ac:dyDescent="0.25">
      <c r="A15" s="72">
        <v>50</v>
      </c>
      <c r="B15" s="72">
        <v>5.649</v>
      </c>
      <c r="C15" s="72">
        <v>4.9039999999999999</v>
      </c>
      <c r="D15" s="73">
        <v>5.9480000000000004</v>
      </c>
      <c r="E15" s="73">
        <v>4.9329999999999998</v>
      </c>
      <c r="F15" s="43">
        <f t="shared" si="3"/>
        <v>0.57115568290353469</v>
      </c>
      <c r="G15" s="43">
        <f t="shared" si="4"/>
        <v>5.5396370582616844E-2</v>
      </c>
      <c r="H15" s="43">
        <f t="shared" si="5"/>
        <v>4.7373447946516085E-3</v>
      </c>
      <c r="I15" s="43">
        <f t="shared" si="6"/>
        <v>0.30189111747851</v>
      </c>
      <c r="J15" s="44">
        <f t="shared" si="7"/>
        <v>0.38158939399329944</v>
      </c>
    </row>
    <row r="16" spans="1:23" x14ac:dyDescent="0.25">
      <c r="A16" s="72">
        <v>50</v>
      </c>
      <c r="B16" s="72">
        <v>5.649</v>
      </c>
      <c r="C16" s="72">
        <v>4.9039999999999999</v>
      </c>
      <c r="D16" s="73">
        <v>5.9820000000000002</v>
      </c>
      <c r="E16" s="73">
        <v>4.9850000000000003</v>
      </c>
      <c r="F16" s="43">
        <f t="shared" si="3"/>
        <v>0.63610315186246458</v>
      </c>
      <c r="G16" s="43">
        <f t="shared" si="4"/>
        <v>0.15472779369627584</v>
      </c>
      <c r="H16" s="43">
        <f t="shared" si="5"/>
        <v>4.7373447946516085E-3</v>
      </c>
      <c r="I16" s="43">
        <f t="shared" si="6"/>
        <v>0.30189111747851</v>
      </c>
      <c r="J16" s="44">
        <f t="shared" si="7"/>
        <v>0.42027982620102555</v>
      </c>
    </row>
    <row r="17" spans="1:10" x14ac:dyDescent="0.25">
      <c r="A17" s="72">
        <v>50</v>
      </c>
      <c r="B17" s="72">
        <v>5.649</v>
      </c>
      <c r="C17" s="72">
        <v>4.9039999999999999</v>
      </c>
      <c r="D17" s="73">
        <v>5.7560000000000002</v>
      </c>
      <c r="E17" s="73">
        <v>5.2560000000000002</v>
      </c>
      <c r="F17" s="43">
        <f t="shared" si="3"/>
        <v>0.20439350525310451</v>
      </c>
      <c r="G17" s="43">
        <f t="shared" si="4"/>
        <v>0.67239732569245525</v>
      </c>
      <c r="H17" s="43">
        <f t="shared" si="5"/>
        <v>4.7373447946516085E-3</v>
      </c>
      <c r="I17" s="43">
        <f t="shared" si="6"/>
        <v>0.30189111747851</v>
      </c>
      <c r="J17" s="44">
        <f t="shared" si="7"/>
        <v>0.17713743273408686</v>
      </c>
    </row>
    <row r="18" spans="1:10" x14ac:dyDescent="0.25">
      <c r="A18" s="72">
        <v>50</v>
      </c>
      <c r="B18" s="72">
        <v>2.66</v>
      </c>
      <c r="C18" s="72">
        <v>7.8780000000000001</v>
      </c>
      <c r="D18" s="73">
        <v>2.7519999999999998</v>
      </c>
      <c r="E18" s="73">
        <v>8.3119999999999994</v>
      </c>
      <c r="F18" s="43">
        <f t="shared" si="3"/>
        <v>0.1757402101241636</v>
      </c>
      <c r="G18" s="43">
        <f t="shared" si="4"/>
        <v>0.82903533906399107</v>
      </c>
      <c r="H18" s="43">
        <f t="shared" si="5"/>
        <v>4.7373447946516085E-3</v>
      </c>
      <c r="I18" s="43">
        <f t="shared" si="6"/>
        <v>0.30189111747851</v>
      </c>
      <c r="J18" s="44">
        <f t="shared" si="7"/>
        <v>0.30712301030186606</v>
      </c>
    </row>
    <row r="19" spans="1:10" x14ac:dyDescent="0.25">
      <c r="A19" s="72">
        <v>50</v>
      </c>
      <c r="B19" s="72">
        <v>2.66</v>
      </c>
      <c r="C19" s="72">
        <v>7.8780000000000001</v>
      </c>
      <c r="D19" s="73">
        <v>3.17</v>
      </c>
      <c r="E19" s="73">
        <v>8.0329999999999995</v>
      </c>
      <c r="F19" s="43">
        <f t="shared" si="3"/>
        <v>0.97421203438395376</v>
      </c>
      <c r="G19" s="43">
        <f t="shared" si="4"/>
        <v>0.29608404966571034</v>
      </c>
      <c r="H19" s="43">
        <f t="shared" si="5"/>
        <v>4.7373447946516085E-3</v>
      </c>
      <c r="I19" s="43">
        <f t="shared" si="6"/>
        <v>0.30189111747851</v>
      </c>
      <c r="J19" s="44">
        <f t="shared" si="7"/>
        <v>0.9399148957908563</v>
      </c>
    </row>
    <row r="20" spans="1:10" x14ac:dyDescent="0.25">
      <c r="A20" s="72">
        <v>50</v>
      </c>
      <c r="B20" s="72">
        <v>2.66</v>
      </c>
      <c r="C20" s="72">
        <v>7.8780000000000001</v>
      </c>
      <c r="D20" s="73">
        <v>2.9260000000000002</v>
      </c>
      <c r="E20" s="73">
        <v>8.19</v>
      </c>
      <c r="F20" s="43">
        <f t="shared" si="3"/>
        <v>0.50811843361986631</v>
      </c>
      <c r="G20" s="43">
        <f t="shared" si="4"/>
        <v>0.59598853868194734</v>
      </c>
      <c r="H20" s="43">
        <f t="shared" si="5"/>
        <v>4.7373447946516085E-3</v>
      </c>
      <c r="I20" s="43">
        <f t="shared" si="6"/>
        <v>0.30189111747851</v>
      </c>
      <c r="J20" s="44">
        <f t="shared" si="7"/>
        <v>0.33988581374537075</v>
      </c>
    </row>
    <row r="21" spans="1:10" x14ac:dyDescent="0.25">
      <c r="A21" s="72">
        <v>50</v>
      </c>
      <c r="B21" s="72">
        <v>2.66</v>
      </c>
      <c r="C21" s="72">
        <v>7.8780000000000001</v>
      </c>
      <c r="D21" s="73">
        <v>2.8119999999999998</v>
      </c>
      <c r="E21" s="73">
        <v>8.1630000000000003</v>
      </c>
      <c r="F21" s="43">
        <f t="shared" si="3"/>
        <v>0.29035339063992299</v>
      </c>
      <c r="G21" s="43">
        <f t="shared" si="4"/>
        <v>0.54441260744985709</v>
      </c>
      <c r="H21" s="43">
        <f t="shared" si="5"/>
        <v>4.7373447946516085E-3</v>
      </c>
      <c r="I21" s="43">
        <f t="shared" si="6"/>
        <v>0.30189111747851</v>
      </c>
      <c r="J21" s="44">
        <f t="shared" si="7"/>
        <v>0.1403931987422104</v>
      </c>
    </row>
    <row r="22" spans="1:10" x14ac:dyDescent="0.25">
      <c r="A22" s="72">
        <v>50</v>
      </c>
      <c r="B22" s="72">
        <v>2.66</v>
      </c>
      <c r="C22" s="72">
        <v>7.8780000000000001</v>
      </c>
      <c r="D22" s="73">
        <v>2.7949999999999999</v>
      </c>
      <c r="E22" s="73">
        <v>8.2680000000000007</v>
      </c>
      <c r="F22" s="43">
        <f t="shared" si="3"/>
        <v>0.25787965616045805</v>
      </c>
      <c r="G22" s="43">
        <f t="shared" si="4"/>
        <v>0.74498567335243671</v>
      </c>
      <c r="H22" s="43">
        <f t="shared" si="5"/>
        <v>4.7373447946516085E-3</v>
      </c>
      <c r="I22" s="43">
        <f t="shared" si="6"/>
        <v>0.30189111747851</v>
      </c>
      <c r="J22" s="44">
        <f t="shared" si="7"/>
        <v>0.26041381524873525</v>
      </c>
    </row>
    <row r="23" spans="1:10" x14ac:dyDescent="0.25">
      <c r="A23" s="72">
        <v>50</v>
      </c>
      <c r="B23" s="72">
        <v>5.6559999999999997</v>
      </c>
      <c r="C23" s="72">
        <v>7.8710000000000004</v>
      </c>
      <c r="D23" s="73">
        <v>5.1879999999999997</v>
      </c>
      <c r="E23" s="73">
        <v>7.5259999999999998</v>
      </c>
      <c r="F23" s="43">
        <f t="shared" si="3"/>
        <v>-0.89398280802292263</v>
      </c>
      <c r="G23" s="43">
        <f t="shared" si="4"/>
        <v>-0.65902578796561728</v>
      </c>
      <c r="H23" s="43">
        <f t="shared" si="5"/>
        <v>4.7373447946516085E-3</v>
      </c>
      <c r="I23" s="43">
        <f t="shared" si="6"/>
        <v>0.30189111747851</v>
      </c>
      <c r="J23" s="44">
        <f t="shared" si="7"/>
        <v>1.7310592122487618</v>
      </c>
    </row>
    <row r="24" spans="1:10" x14ac:dyDescent="0.25">
      <c r="A24" s="72">
        <v>50</v>
      </c>
      <c r="B24" s="72">
        <v>5.6559999999999997</v>
      </c>
      <c r="C24" s="72">
        <v>7.8710000000000004</v>
      </c>
      <c r="D24" s="73">
        <v>5.3540000000000001</v>
      </c>
      <c r="E24" s="73">
        <v>7.8410000000000002</v>
      </c>
      <c r="F24" s="43">
        <f t="shared" si="3"/>
        <v>-0.5768863419293212</v>
      </c>
      <c r="G24" s="43">
        <f t="shared" si="4"/>
        <v>-5.7306590257880138E-2</v>
      </c>
      <c r="H24" s="43">
        <f t="shared" si="5"/>
        <v>4.7373447946516085E-3</v>
      </c>
      <c r="I24" s="43">
        <f t="shared" si="6"/>
        <v>0.30189111747851</v>
      </c>
      <c r="J24" s="44">
        <f t="shared" si="7"/>
        <v>0.46730910620146321</v>
      </c>
    </row>
    <row r="25" spans="1:10" x14ac:dyDescent="0.25">
      <c r="A25" s="72">
        <v>50</v>
      </c>
      <c r="B25" s="72">
        <v>5.6559999999999997</v>
      </c>
      <c r="C25" s="72">
        <v>7.8710000000000004</v>
      </c>
      <c r="D25" s="73">
        <v>5.38</v>
      </c>
      <c r="E25" s="73">
        <v>7.8579999999999997</v>
      </c>
      <c r="F25" s="43">
        <f t="shared" si="3"/>
        <v>-0.52722063037249245</v>
      </c>
      <c r="G25" s="43">
        <f t="shared" si="4"/>
        <v>-2.4832855778416027E-2</v>
      </c>
      <c r="H25" s="43">
        <f t="shared" si="5"/>
        <v>4.7373447946516085E-3</v>
      </c>
      <c r="I25" s="43">
        <f t="shared" si="6"/>
        <v>0.30189111747851</v>
      </c>
      <c r="J25" s="44">
        <f t="shared" si="7"/>
        <v>0.38972784204472039</v>
      </c>
    </row>
    <row r="26" spans="1:10" x14ac:dyDescent="0.25">
      <c r="A26" s="72">
        <v>50</v>
      </c>
      <c r="B26" s="72">
        <v>5.6559999999999997</v>
      </c>
      <c r="C26" s="72">
        <v>7.8710000000000004</v>
      </c>
      <c r="D26" s="73">
        <v>5.5810000000000004</v>
      </c>
      <c r="E26" s="73">
        <v>8.2070000000000007</v>
      </c>
      <c r="F26" s="43">
        <f t="shared" si="3"/>
        <v>-0.1432664756446978</v>
      </c>
      <c r="G26" s="43">
        <f t="shared" si="4"/>
        <v>0.64183381088825275</v>
      </c>
      <c r="H26" s="43">
        <f t="shared" si="5"/>
        <v>4.7373447946516085E-3</v>
      </c>
      <c r="I26" s="43">
        <f t="shared" si="6"/>
        <v>0.30189111747851</v>
      </c>
      <c r="J26" s="44">
        <f t="shared" si="7"/>
        <v>0.13746616566731354</v>
      </c>
    </row>
    <row r="27" spans="1:10" x14ac:dyDescent="0.25">
      <c r="A27" s="72">
        <v>50</v>
      </c>
      <c r="B27" s="72">
        <v>5.6559999999999997</v>
      </c>
      <c r="C27" s="72">
        <v>7.8710000000000004</v>
      </c>
      <c r="D27" s="73">
        <v>5.7030000000000003</v>
      </c>
      <c r="E27" s="73">
        <v>8.3209999999999997</v>
      </c>
      <c r="F27" s="43">
        <f t="shared" si="3"/>
        <v>8.9780324737345943E-2</v>
      </c>
      <c r="G27" s="43">
        <f t="shared" si="4"/>
        <v>0.85959885386819357</v>
      </c>
      <c r="H27" s="43">
        <f t="shared" si="5"/>
        <v>4.7373447946516085E-3</v>
      </c>
      <c r="I27" s="43">
        <f t="shared" si="6"/>
        <v>0.30189111747851</v>
      </c>
      <c r="J27" s="44">
        <f t="shared" si="7"/>
        <v>0.31827022766643837</v>
      </c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</sheetData>
  <mergeCells count="3">
    <mergeCell ref="D1:E1"/>
    <mergeCell ref="F1:J1"/>
    <mergeCell ref="B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6.26953125" bestFit="1" customWidth="1"/>
    <col min="2" max="2" width="8.26953125" style="27" bestFit="1" customWidth="1"/>
    <col min="5" max="5" width="8.90625" style="5"/>
    <col min="7" max="8" width="8.7265625" style="6"/>
    <col min="9" max="9" width="8.90625" style="27"/>
    <col min="10" max="10" width="8.7265625" style="31"/>
    <col min="11" max="11" width="0" hidden="1" customWidth="1"/>
    <col min="12" max="12" width="18.36328125" style="40" bestFit="1" customWidth="1"/>
    <col min="13" max="14" width="8.7265625" style="40"/>
    <col min="15" max="15" width="11.08984375" customWidth="1"/>
    <col min="16" max="16" width="10.90625" customWidth="1"/>
    <col min="17" max="17" width="11.54296875" style="9" customWidth="1"/>
    <col min="18" max="19" width="8.90625" style="1"/>
  </cols>
  <sheetData>
    <row r="1" spans="1:22" ht="13.5" thickBot="1" x14ac:dyDescent="0.35">
      <c r="A1" s="6"/>
      <c r="B1" s="50" t="s">
        <v>21</v>
      </c>
      <c r="C1" s="64" t="s">
        <v>26</v>
      </c>
      <c r="D1" s="65"/>
      <c r="E1" s="66" t="s">
        <v>14</v>
      </c>
      <c r="F1" s="67"/>
      <c r="G1" s="67"/>
      <c r="H1" s="67"/>
      <c r="I1" s="67"/>
      <c r="J1" s="51"/>
      <c r="L1" s="55" t="s">
        <v>24</v>
      </c>
      <c r="M1" s="56">
        <f>ROUND(10*M3,0)</f>
        <v>4</v>
      </c>
      <c r="N1"/>
      <c r="O1" s="14" t="s">
        <v>5</v>
      </c>
      <c r="P1" s="19" t="s">
        <v>7</v>
      </c>
      <c r="Q1" s="20" t="s">
        <v>13</v>
      </c>
      <c r="R1" s="15" t="s">
        <v>27</v>
      </c>
      <c r="S1" s="15" t="s">
        <v>28</v>
      </c>
      <c r="T1" s="16" t="s">
        <v>11</v>
      </c>
      <c r="U1" s="17" t="s">
        <v>12</v>
      </c>
      <c r="V1" s="18">
        <v>0.8</v>
      </c>
    </row>
    <row r="2" spans="1:22" ht="13" x14ac:dyDescent="0.3">
      <c r="A2" s="25" t="s">
        <v>5</v>
      </c>
      <c r="B2" s="29" t="s">
        <v>22</v>
      </c>
      <c r="C2" s="25" t="s">
        <v>2</v>
      </c>
      <c r="D2" s="25" t="s">
        <v>1</v>
      </c>
      <c r="E2" s="26" t="s">
        <v>2</v>
      </c>
      <c r="F2" s="26" t="s">
        <v>1</v>
      </c>
      <c r="G2" s="26" t="s">
        <v>4</v>
      </c>
      <c r="H2" s="26" t="s">
        <v>3</v>
      </c>
      <c r="I2" s="28" t="s">
        <v>0</v>
      </c>
      <c r="J2" s="60"/>
      <c r="L2" s="53" t="s">
        <v>23</v>
      </c>
      <c r="M2" s="54">
        <f>SQRT(GETPIVOTDATA("Sum Radius^2",$O$1)/CHIINV(0.5,2*GETPIVOTDATA("Count of Group",$O$1)-2*COUNT(O:O)))</f>
        <v>0.30966106880846789</v>
      </c>
      <c r="N2"/>
      <c r="O2" s="85">
        <v>1</v>
      </c>
      <c r="P2" s="21">
        <v>3.4542241963921452</v>
      </c>
      <c r="Q2" s="2">
        <v>20</v>
      </c>
      <c r="R2" s="1">
        <f>2*Q2-1</f>
        <v>39</v>
      </c>
      <c r="S2" s="1">
        <f>1/EXP(LN(SQRT(2/(R2-1))) + GAMMALN(R2/2) - GAMMALN((R2-1)/2))</f>
        <v>1.006599872458809</v>
      </c>
      <c r="T2" s="13">
        <f>S2*SQRT(P2/(2*(Q2-1)))</f>
        <v>0.30348716849938862</v>
      </c>
      <c r="U2" s="3">
        <f>SQRT(P2/CHIINV((1-V$1)/2,2*Q2-2))</f>
        <v>0.2641298490779545</v>
      </c>
      <c r="V2" s="3">
        <f>SQRT(P2/CHIINV(0.5+V$1/2,2*Q2-2))</f>
        <v>0.35542876827336045</v>
      </c>
    </row>
    <row r="3" spans="1:22" ht="13" x14ac:dyDescent="0.3">
      <c r="A3" s="4">
        <v>1</v>
      </c>
      <c r="B3" s="75">
        <v>100</v>
      </c>
      <c r="C3" s="4">
        <v>0.80802292263610331</v>
      </c>
      <c r="D3" s="4">
        <v>-0.29035339063992216</v>
      </c>
      <c r="E3" s="5">
        <f>(C3)/(0.01047*$B3)</f>
        <v>0.77175064244135949</v>
      </c>
      <c r="F3" s="5">
        <f>(D3)/(0.01047*$B3)</f>
        <v>-0.27731937978980153</v>
      </c>
      <c r="G3" s="5">
        <f t="shared" ref="G3:G32" si="0">AVERAGEIF($A:$A,"="&amp;$A3,E:E)</f>
        <v>0.44900196951493732</v>
      </c>
      <c r="H3" s="5">
        <f t="shared" ref="H3:H32" si="1">AVERAGEIF($A:$A,"="&amp;$A3,F:F)</f>
        <v>7.9911768649957277E-2</v>
      </c>
      <c r="I3" s="7">
        <f>POWER(E3-G3,2)+POWER(F3-H3,2)</f>
        <v>0.23178079929135559</v>
      </c>
      <c r="L3" s="57" t="s">
        <v>25</v>
      </c>
      <c r="M3" s="58">
        <f>SQRT(GETPIVOTDATA("Sum Radius^2",$O$1)/CHIINV(0.9,2*GETPIVOTDATA("Count of Group",$O$1)-2*COUNT(O:O)))</f>
        <v>0.35153460551457838</v>
      </c>
      <c r="N3"/>
      <c r="O3" s="85">
        <v>2</v>
      </c>
      <c r="P3" s="21">
        <v>1.8518249577664676</v>
      </c>
      <c r="Q3" s="2">
        <v>10</v>
      </c>
      <c r="R3" s="1">
        <f>2*Q3-1</f>
        <v>19</v>
      </c>
      <c r="S3" s="1">
        <f>1/EXP(LN(SQRT(2/(R3-1))) + GAMMALN(R3/2) - GAMMALN((R3-1)/2))</f>
        <v>1.0139785697898209</v>
      </c>
      <c r="T3" s="13">
        <f>S3*SQRT(P3/(2*(Q3-1)))</f>
        <v>0.32523141623824686</v>
      </c>
      <c r="U3" s="3">
        <f>SQRT(P3/CHIINV((1-V$1)/2,2*Q3-2))</f>
        <v>0.26693261862971279</v>
      </c>
      <c r="V3" s="3">
        <f>SQRT(P3/CHIINV(0.5+V$1/2,2*Q3-2))</f>
        <v>0.41284438090393383</v>
      </c>
    </row>
    <row r="4" spans="1:22" ht="13" x14ac:dyDescent="0.3">
      <c r="A4" s="42">
        <v>1</v>
      </c>
      <c r="B4" s="75">
        <v>100</v>
      </c>
      <c r="C4" s="4">
        <v>0.53104106972301823</v>
      </c>
      <c r="D4" s="4">
        <v>8.4049665711557753E-2</v>
      </c>
      <c r="E4" s="5">
        <f t="shared" ref="E4:E32" si="2">(C4)/(0.01047*$B4)</f>
        <v>0.50720254987871849</v>
      </c>
      <c r="F4" s="5">
        <f t="shared" ref="F4:F32" si="3">(D4)/(0.01047*$B4)</f>
        <v>8.0276662570733293E-2</v>
      </c>
      <c r="G4" s="5">
        <f t="shared" si="0"/>
        <v>0.44900196951493732</v>
      </c>
      <c r="H4" s="5">
        <f t="shared" si="1"/>
        <v>7.9911768649957277E-2</v>
      </c>
      <c r="I4" s="7">
        <f t="shared" ref="I4:I32" si="4">POWER(E4-G4,2)+POWER(F4-H4,2)</f>
        <v>3.3874407022543703E-3</v>
      </c>
      <c r="O4" s="45" t="s">
        <v>6</v>
      </c>
      <c r="P4" s="22">
        <v>5.3060491541586128</v>
      </c>
      <c r="Q4" s="23">
        <v>30</v>
      </c>
      <c r="T4" s="13"/>
      <c r="U4" s="3"/>
      <c r="V4" s="3"/>
    </row>
    <row r="5" spans="1:22" ht="13" x14ac:dyDescent="0.3">
      <c r="A5" s="42">
        <v>1</v>
      </c>
      <c r="B5" s="75">
        <v>100</v>
      </c>
      <c r="C5" s="4">
        <v>0.44508118433619887</v>
      </c>
      <c r="D5" s="4">
        <v>-4.5845272206302072E-2</v>
      </c>
      <c r="E5" s="5">
        <f t="shared" si="2"/>
        <v>0.42510141770410592</v>
      </c>
      <c r="F5" s="5">
        <f t="shared" si="3"/>
        <v>-4.378727049312519E-2</v>
      </c>
      <c r="G5" s="5">
        <f t="shared" si="0"/>
        <v>0.44900196951493732</v>
      </c>
      <c r="H5" s="5">
        <f t="shared" si="1"/>
        <v>7.9911768649957277E-2</v>
      </c>
      <c r="I5" s="7">
        <f t="shared" si="4"/>
        <v>1.5872688661784085E-2</v>
      </c>
      <c r="Q5"/>
      <c r="R5" s="10">
        <f>2*GETPIVOTDATA("Count of Group",$O$1)+1-2*COUNT(O:O)</f>
        <v>57</v>
      </c>
      <c r="S5" s="46">
        <f>1/EXP(LN(SQRT(2/(R5-1))) + GAMMALN(R5/2) - GAMMALN((R5-1)/2))</f>
        <v>1.0044740272525767</v>
      </c>
      <c r="T5" s="11">
        <f>S5*SQRT(GETPIVOTDATA("Sum Radius^2",$O$1)/(2*(GETPIVOTDATA("Count of Group",$O$1)-COUNT(O:O))))</f>
        <v>0.30919348374780187</v>
      </c>
      <c r="U5" s="12">
        <f>SQRT(GETPIVOTDATA("Sum Radius^2",$O$1)/CHIINV((1-V$1)/2,2*GETPIVOTDATA("Count of Group",$O$1)-2*COUNT(O:O)))</f>
        <v>0.2754796625952457</v>
      </c>
      <c r="V5" s="24">
        <f>SQRT(GETPIVOTDATA("Sum Radius^2",$O$1)/CHIINV(0.5+V$1/2,2*GETPIVOTDATA("Count of Group",$O$1)-2*COUNT(O:O)))</f>
        <v>0.35153460551457838</v>
      </c>
    </row>
    <row r="6" spans="1:22" x14ac:dyDescent="0.25">
      <c r="A6" s="42">
        <v>1</v>
      </c>
      <c r="B6" s="75">
        <v>100</v>
      </c>
      <c r="C6" s="4">
        <v>0.61700095510983755</v>
      </c>
      <c r="D6" s="4">
        <v>-1.146131805157467E-2</v>
      </c>
      <c r="E6" s="5">
        <f t="shared" si="2"/>
        <v>0.58930368205333106</v>
      </c>
      <c r="F6" s="5">
        <f t="shared" si="3"/>
        <v>-1.0946817623280487E-2</v>
      </c>
      <c r="G6" s="5">
        <f t="shared" si="0"/>
        <v>0.44900196951493732</v>
      </c>
      <c r="H6" s="5">
        <f t="shared" si="1"/>
        <v>7.9911768649957277E-2</v>
      </c>
      <c r="I6" s="7">
        <f t="shared" si="4"/>
        <v>2.7939853240777461E-2</v>
      </c>
      <c r="Q6" s="8"/>
      <c r="V6" s="30"/>
    </row>
    <row r="7" spans="1:22" x14ac:dyDescent="0.25">
      <c r="A7" s="42">
        <v>1</v>
      </c>
      <c r="B7" s="75">
        <v>100</v>
      </c>
      <c r="C7" s="4">
        <v>0.49665711556828995</v>
      </c>
      <c r="D7" s="4">
        <v>4.9665711556830354E-2</v>
      </c>
      <c r="E7" s="5">
        <f t="shared" si="2"/>
        <v>0.47436209700887294</v>
      </c>
      <c r="F7" s="5">
        <f t="shared" si="3"/>
        <v>4.743620970088859E-2</v>
      </c>
      <c r="G7" s="5">
        <f t="shared" si="0"/>
        <v>0.44900196951493732</v>
      </c>
      <c r="H7" s="5">
        <f t="shared" si="1"/>
        <v>7.9911768649957277E-2</v>
      </c>
      <c r="I7" s="7">
        <f t="shared" si="4"/>
        <v>1.6977979955631048E-3</v>
      </c>
      <c r="Q7" s="8"/>
      <c r="R7" s="32"/>
      <c r="S7" s="32"/>
      <c r="T7" s="32"/>
      <c r="U7" s="32"/>
      <c r="V7" s="33"/>
    </row>
    <row r="8" spans="1:22" x14ac:dyDescent="0.25">
      <c r="A8" s="42">
        <v>1</v>
      </c>
      <c r="B8" s="75">
        <v>100</v>
      </c>
      <c r="C8" s="4">
        <v>0.26743075453677284</v>
      </c>
      <c r="D8" s="4">
        <v>0.49092645654250178</v>
      </c>
      <c r="E8" s="5">
        <f t="shared" si="2"/>
        <v>0.25542574454324057</v>
      </c>
      <c r="F8" s="5">
        <f t="shared" si="3"/>
        <v>0.4688886881972319</v>
      </c>
      <c r="G8" s="5">
        <f t="shared" si="0"/>
        <v>0.44900196951493732</v>
      </c>
      <c r="H8" s="5">
        <f t="shared" si="1"/>
        <v>7.9911768649957277E-2</v>
      </c>
      <c r="I8" s="7">
        <f t="shared" si="4"/>
        <v>0.1887747988147799</v>
      </c>
    </row>
    <row r="9" spans="1:22" x14ac:dyDescent="0.25">
      <c r="A9" s="42">
        <v>1</v>
      </c>
      <c r="B9" s="75">
        <v>100</v>
      </c>
      <c r="C9" s="4">
        <v>0.97039159503342898</v>
      </c>
      <c r="D9" s="4">
        <v>-3.8204393505248901E-3</v>
      </c>
      <c r="E9" s="5">
        <f t="shared" si="2"/>
        <v>0.92683055877118337</v>
      </c>
      <c r="F9" s="5">
        <f t="shared" si="3"/>
        <v>-3.6489392077601627E-3</v>
      </c>
      <c r="G9" s="5">
        <f t="shared" si="0"/>
        <v>0.44900196951493732</v>
      </c>
      <c r="H9" s="5">
        <f t="shared" si="1"/>
        <v>7.9911768649957277E-2</v>
      </c>
      <c r="I9" s="7">
        <f t="shared" si="4"/>
        <v>0.23530255260829711</v>
      </c>
    </row>
    <row r="10" spans="1:22" x14ac:dyDescent="0.25">
      <c r="A10" s="42">
        <v>1</v>
      </c>
      <c r="B10" s="75">
        <v>100</v>
      </c>
      <c r="C10" s="4">
        <v>0.72015281757402239</v>
      </c>
      <c r="D10" s="4">
        <v>-9.9331423113657322E-2</v>
      </c>
      <c r="E10" s="5">
        <f t="shared" si="2"/>
        <v>0.68782504066286765</v>
      </c>
      <c r="F10" s="5">
        <f t="shared" si="3"/>
        <v>-9.4872419401773947E-2</v>
      </c>
      <c r="G10" s="5">
        <f t="shared" si="0"/>
        <v>0.44900196951493732</v>
      </c>
      <c r="H10" s="5">
        <f t="shared" si="1"/>
        <v>7.9911768649957277E-2</v>
      </c>
      <c r="I10" s="7">
        <f t="shared" si="4"/>
        <v>8.7585971705432336E-2</v>
      </c>
    </row>
    <row r="11" spans="1:22" x14ac:dyDescent="0.25">
      <c r="A11" s="42">
        <v>1</v>
      </c>
      <c r="B11" s="75">
        <v>100</v>
      </c>
      <c r="C11" s="4">
        <v>0.38013371537726981</v>
      </c>
      <c r="D11" s="4">
        <v>-0.24832855778414498</v>
      </c>
      <c r="E11" s="5">
        <f t="shared" si="2"/>
        <v>0.36306945117217748</v>
      </c>
      <c r="F11" s="5">
        <f t="shared" si="3"/>
        <v>-0.23718104850443647</v>
      </c>
      <c r="G11" s="5">
        <f t="shared" si="0"/>
        <v>0.44900196951493732</v>
      </c>
      <c r="H11" s="5">
        <f t="shared" si="1"/>
        <v>7.9911768649957277E-2</v>
      </c>
      <c r="I11" s="7">
        <f t="shared" si="4"/>
        <v>0.10793225239963854</v>
      </c>
    </row>
    <row r="12" spans="1:22" x14ac:dyDescent="0.25">
      <c r="A12" s="42">
        <v>1</v>
      </c>
      <c r="B12" s="75">
        <v>100</v>
      </c>
      <c r="C12" s="34">
        <v>0.31900668576886476</v>
      </c>
      <c r="D12" s="34">
        <v>-0.22158548233046738</v>
      </c>
      <c r="E12" s="35">
        <f t="shared" si="2"/>
        <v>0.30468642384800837</v>
      </c>
      <c r="F12" s="35">
        <f t="shared" si="3"/>
        <v>-0.21163847405011213</v>
      </c>
      <c r="G12" s="35">
        <f t="shared" si="0"/>
        <v>0.44900196951493732</v>
      </c>
      <c r="H12" s="35">
        <f t="shared" si="1"/>
        <v>7.9911768649957277E-2</v>
      </c>
      <c r="I12" s="36">
        <f t="shared" si="4"/>
        <v>0.10582852073961282</v>
      </c>
    </row>
    <row r="13" spans="1:22" x14ac:dyDescent="0.25">
      <c r="A13" s="42">
        <v>1</v>
      </c>
      <c r="B13" s="75">
        <v>100</v>
      </c>
      <c r="C13" s="4">
        <v>0.85577841451766945</v>
      </c>
      <c r="D13" s="4">
        <v>0.47373447946514063</v>
      </c>
      <c r="E13" s="5">
        <f t="shared" si="2"/>
        <v>0.81736238253836624</v>
      </c>
      <c r="F13" s="5">
        <f t="shared" si="3"/>
        <v>0.45246846176231198</v>
      </c>
      <c r="G13" s="5">
        <f t="shared" si="0"/>
        <v>0.44900196951493732</v>
      </c>
      <c r="H13" s="5">
        <f t="shared" si="1"/>
        <v>7.9911768649957277E-2</v>
      </c>
      <c r="I13" s="7">
        <f t="shared" si="4"/>
        <v>0.27448788346560438</v>
      </c>
    </row>
    <row r="14" spans="1:22" x14ac:dyDescent="0.25">
      <c r="A14" s="42">
        <v>1</v>
      </c>
      <c r="B14" s="75">
        <v>100</v>
      </c>
      <c r="C14" s="4">
        <v>0.95893027698185251</v>
      </c>
      <c r="D14" s="4">
        <v>-0.19484240687678975</v>
      </c>
      <c r="E14" s="5">
        <f t="shared" si="2"/>
        <v>0.91588374114790116</v>
      </c>
      <c r="F14" s="5">
        <f t="shared" si="3"/>
        <v>-0.18609589959578773</v>
      </c>
      <c r="G14" s="5">
        <f t="shared" si="0"/>
        <v>0.44900196951493732</v>
      </c>
      <c r="H14" s="5">
        <f t="shared" si="1"/>
        <v>7.9911768649957277E-2</v>
      </c>
      <c r="I14" s="7">
        <f t="shared" si="4"/>
        <v>0.28873866824867334</v>
      </c>
    </row>
    <row r="15" spans="1:22" x14ac:dyDescent="0.25">
      <c r="A15" s="42">
        <v>1</v>
      </c>
      <c r="B15" s="75">
        <v>100</v>
      </c>
      <c r="C15" s="4">
        <v>0.62082139446036244</v>
      </c>
      <c r="D15" s="4">
        <v>-0.39541547277936767</v>
      </c>
      <c r="E15" s="5">
        <f t="shared" si="2"/>
        <v>0.59295262126109116</v>
      </c>
      <c r="F15" s="5">
        <f t="shared" si="3"/>
        <v>-0.37766520800321651</v>
      </c>
      <c r="G15" s="5">
        <f t="shared" si="0"/>
        <v>0.44900196951493732</v>
      </c>
      <c r="H15" s="5">
        <f t="shared" si="1"/>
        <v>7.9911768649957277E-2</v>
      </c>
      <c r="I15" s="7">
        <f t="shared" si="4"/>
        <v>0.23009847970120159</v>
      </c>
    </row>
    <row r="16" spans="1:22" x14ac:dyDescent="0.25">
      <c r="A16" s="42">
        <v>1</v>
      </c>
      <c r="B16" s="75">
        <v>100</v>
      </c>
      <c r="C16" s="4">
        <v>0.34383954154727742</v>
      </c>
      <c r="D16" s="4">
        <v>-0.29990448901623523</v>
      </c>
      <c r="E16" s="5">
        <f t="shared" si="2"/>
        <v>0.32840452869845027</v>
      </c>
      <c r="F16" s="5">
        <f t="shared" si="3"/>
        <v>-0.28644172780920274</v>
      </c>
      <c r="G16" s="5">
        <f t="shared" si="0"/>
        <v>0.44900196951493732</v>
      </c>
      <c r="H16" s="5">
        <f t="shared" si="1"/>
        <v>7.9911768649957277E-2</v>
      </c>
      <c r="I16" s="7">
        <f t="shared" si="4"/>
        <v>0.14875862709933788</v>
      </c>
    </row>
    <row r="17" spans="1:9" x14ac:dyDescent="0.25">
      <c r="A17" s="42">
        <v>1</v>
      </c>
      <c r="B17" s="75">
        <v>100</v>
      </c>
      <c r="C17" s="4">
        <v>4.7755491881566213E-2</v>
      </c>
      <c r="D17" s="4">
        <v>0.23113658070678214</v>
      </c>
      <c r="E17" s="5">
        <f t="shared" si="2"/>
        <v>4.5611740097006893E-2</v>
      </c>
      <c r="F17" s="5">
        <f t="shared" si="3"/>
        <v>0.22076082206951494</v>
      </c>
      <c r="G17" s="5">
        <f t="shared" si="0"/>
        <v>0.44900196951493732</v>
      </c>
      <c r="H17" s="5">
        <f t="shared" si="1"/>
        <v>7.9911768649957277E-2</v>
      </c>
      <c r="I17" s="7">
        <f t="shared" si="4"/>
        <v>0.18256213303903596</v>
      </c>
    </row>
    <row r="18" spans="1:9" x14ac:dyDescent="0.25">
      <c r="A18" s="42">
        <v>1</v>
      </c>
      <c r="B18" s="75">
        <v>100</v>
      </c>
      <c r="C18" s="4">
        <v>0.18529130850047668</v>
      </c>
      <c r="D18" s="4">
        <v>4.3935052531040478E-2</v>
      </c>
      <c r="E18" s="5">
        <f t="shared" si="2"/>
        <v>0.17697355157638653</v>
      </c>
      <c r="F18" s="5">
        <f t="shared" si="3"/>
        <v>4.1962800889245921E-2</v>
      </c>
      <c r="G18" s="5">
        <f t="shared" si="0"/>
        <v>0.44900196951493732</v>
      </c>
      <c r="H18" s="5">
        <f t="shared" si="1"/>
        <v>7.9911768649957277E-2</v>
      </c>
      <c r="I18" s="7">
        <f t="shared" si="4"/>
        <v>7.5439584320254383E-2</v>
      </c>
    </row>
    <row r="19" spans="1:9" x14ac:dyDescent="0.25">
      <c r="A19" s="42">
        <v>1</v>
      </c>
      <c r="B19" s="75">
        <v>100</v>
      </c>
      <c r="C19" s="4">
        <v>-4.9665711556830354E-2</v>
      </c>
      <c r="D19" s="4">
        <v>0.17382999044890371</v>
      </c>
      <c r="E19" s="5">
        <f t="shared" si="2"/>
        <v>-4.743620970088859E-2</v>
      </c>
      <c r="F19" s="5">
        <f t="shared" si="3"/>
        <v>0.16602673395310766</v>
      </c>
      <c r="G19" s="5">
        <f t="shared" si="0"/>
        <v>0.44900196951493732</v>
      </c>
      <c r="H19" s="5">
        <f t="shared" si="1"/>
        <v>7.9911768649957277E-2</v>
      </c>
      <c r="I19" s="7">
        <f t="shared" si="4"/>
        <v>0.25386665303228728</v>
      </c>
    </row>
    <row r="20" spans="1:9" x14ac:dyDescent="0.25">
      <c r="A20" s="42">
        <v>1</v>
      </c>
      <c r="B20" s="75">
        <v>100</v>
      </c>
      <c r="C20" s="4">
        <v>0.20248328557784123</v>
      </c>
      <c r="D20" s="4">
        <v>0.50429799426934319</v>
      </c>
      <c r="E20" s="5">
        <f t="shared" si="2"/>
        <v>0.19339377801130969</v>
      </c>
      <c r="F20" s="5">
        <f t="shared" si="3"/>
        <v>0.48165997542439659</v>
      </c>
      <c r="G20" s="5">
        <f t="shared" si="0"/>
        <v>0.44900196951493732</v>
      </c>
      <c r="H20" s="5">
        <f t="shared" si="1"/>
        <v>7.9911768649957277E-2</v>
      </c>
      <c r="I20" s="7">
        <f t="shared" si="4"/>
        <v>0.22673716921023285</v>
      </c>
    </row>
    <row r="21" spans="1:9" x14ac:dyDescent="0.25">
      <c r="A21" s="42">
        <v>1</v>
      </c>
      <c r="B21" s="75">
        <v>100</v>
      </c>
      <c r="C21" s="4">
        <v>0.39350525310410606</v>
      </c>
      <c r="D21" s="4">
        <v>0.68576886341929322</v>
      </c>
      <c r="E21" s="5">
        <f t="shared" si="2"/>
        <v>0.37584073839933724</v>
      </c>
      <c r="F21" s="5">
        <f t="shared" si="3"/>
        <v>0.65498458779302127</v>
      </c>
      <c r="G21" s="5">
        <f t="shared" si="0"/>
        <v>0.44900196951493732</v>
      </c>
      <c r="H21" s="5">
        <f t="shared" si="1"/>
        <v>7.9911768649957277E-2</v>
      </c>
      <c r="I21" s="7">
        <f t="shared" si="4"/>
        <v>0.33606131305550141</v>
      </c>
    </row>
    <row r="22" spans="1:9" x14ac:dyDescent="0.25">
      <c r="A22" s="42">
        <v>1</v>
      </c>
      <c r="B22" s="75">
        <v>100</v>
      </c>
      <c r="C22" s="34">
        <v>0.2884431709646606</v>
      </c>
      <c r="D22" s="34">
        <v>0.74689589302769821</v>
      </c>
      <c r="E22" s="35">
        <f t="shared" si="2"/>
        <v>0.27549491018592226</v>
      </c>
      <c r="F22" s="35">
        <f t="shared" si="3"/>
        <v>0.71336761511719027</v>
      </c>
      <c r="G22" s="35">
        <f t="shared" si="0"/>
        <v>0.44900196951493732</v>
      </c>
      <c r="H22" s="35">
        <f t="shared" si="1"/>
        <v>7.9911768649957277E-2</v>
      </c>
      <c r="I22" s="36">
        <f t="shared" si="4"/>
        <v>0.43137100906052095</v>
      </c>
    </row>
    <row r="23" spans="1:9" x14ac:dyDescent="0.25">
      <c r="A23" s="42">
        <v>2</v>
      </c>
      <c r="B23" s="75">
        <v>100</v>
      </c>
      <c r="C23" s="4">
        <v>-0.10506208213944719</v>
      </c>
      <c r="D23" s="4">
        <v>-0.94364851957975171</v>
      </c>
      <c r="E23" s="5">
        <f t="shared" si="2"/>
        <v>-0.10034582821341662</v>
      </c>
      <c r="F23" s="5">
        <f t="shared" si="3"/>
        <v>-0.90128798431685941</v>
      </c>
      <c r="G23" s="5">
        <f t="shared" si="0"/>
        <v>0.10046745952034071</v>
      </c>
      <c r="H23" s="5">
        <f t="shared" si="1"/>
        <v>-0.2892392478684872</v>
      </c>
      <c r="I23" s="7">
        <f t="shared" si="4"/>
        <v>0.41492963231848978</v>
      </c>
    </row>
    <row r="24" spans="1:9" x14ac:dyDescent="0.25">
      <c r="A24" s="42">
        <v>2</v>
      </c>
      <c r="B24" s="75">
        <v>100</v>
      </c>
      <c r="C24" s="4">
        <v>-0.18338108882521509</v>
      </c>
      <c r="D24" s="4">
        <v>-0.58834765998089755</v>
      </c>
      <c r="E24" s="5">
        <f t="shared" si="2"/>
        <v>-0.17514908197250725</v>
      </c>
      <c r="F24" s="5">
        <f t="shared" si="3"/>
        <v>-0.56193663799512661</v>
      </c>
      <c r="G24" s="5">
        <f t="shared" si="0"/>
        <v>0.10046745952034071</v>
      </c>
      <c r="H24" s="5">
        <f t="shared" si="1"/>
        <v>-0.2892392478684872</v>
      </c>
      <c r="I24" s="7">
        <f t="shared" si="4"/>
        <v>0.15032834452635935</v>
      </c>
    </row>
    <row r="25" spans="1:9" x14ac:dyDescent="0.25">
      <c r="A25" s="42">
        <v>2</v>
      </c>
      <c r="B25" s="75">
        <v>100</v>
      </c>
      <c r="C25" s="4">
        <v>9.742120343839572E-2</v>
      </c>
      <c r="D25" s="4">
        <v>-0.53104106972301823</v>
      </c>
      <c r="E25" s="5">
        <f t="shared" si="2"/>
        <v>9.3047949797894672E-2</v>
      </c>
      <c r="F25" s="5">
        <f t="shared" si="3"/>
        <v>-0.50720254987871849</v>
      </c>
      <c r="G25" s="5">
        <f t="shared" si="0"/>
        <v>0.10046745952034071</v>
      </c>
      <c r="H25" s="5">
        <f t="shared" si="1"/>
        <v>-0.2892392478684872</v>
      </c>
      <c r="I25" s="7">
        <f t="shared" si="4"/>
        <v>4.7563050147724766E-2</v>
      </c>
    </row>
    <row r="26" spans="1:9" x14ac:dyDescent="0.25">
      <c r="A26" s="42">
        <v>2</v>
      </c>
      <c r="B26" s="75">
        <v>100</v>
      </c>
      <c r="C26" s="4">
        <v>0.27507163323782263</v>
      </c>
      <c r="D26" s="4">
        <v>-0.29608404966571161</v>
      </c>
      <c r="E26" s="5">
        <f t="shared" si="2"/>
        <v>0.26272362295876089</v>
      </c>
      <c r="F26" s="5">
        <f t="shared" si="3"/>
        <v>-0.2827927886014438</v>
      </c>
      <c r="G26" s="5">
        <f t="shared" si="0"/>
        <v>0.10046745952034071</v>
      </c>
      <c r="H26" s="5">
        <f t="shared" si="1"/>
        <v>-0.2892392478684872</v>
      </c>
      <c r="I26" s="7">
        <f t="shared" si="4"/>
        <v>2.6368619410836975E-2</v>
      </c>
    </row>
    <row r="27" spans="1:9" x14ac:dyDescent="0.25">
      <c r="A27" s="42">
        <v>2</v>
      </c>
      <c r="B27" s="75">
        <v>100</v>
      </c>
      <c r="C27" s="4">
        <v>-0.21585482330468089</v>
      </c>
      <c r="D27" s="4">
        <v>0.48328557784145204</v>
      </c>
      <c r="E27" s="5">
        <f t="shared" si="2"/>
        <v>-0.20616506523847269</v>
      </c>
      <c r="F27" s="5">
        <f t="shared" si="3"/>
        <v>0.46159080978171163</v>
      </c>
      <c r="G27" s="5">
        <f t="shared" si="0"/>
        <v>0.10046745952034071</v>
      </c>
      <c r="H27" s="5">
        <f t="shared" si="1"/>
        <v>-0.2892392478684872</v>
      </c>
      <c r="I27" s="7">
        <f t="shared" si="4"/>
        <v>0.65776928071096519</v>
      </c>
    </row>
    <row r="28" spans="1:9" x14ac:dyDescent="0.25">
      <c r="A28" s="42">
        <v>2</v>
      </c>
      <c r="B28" s="75">
        <v>100</v>
      </c>
      <c r="C28" s="4">
        <v>-0.36867239732569174</v>
      </c>
      <c r="D28" s="4">
        <v>-0.48710601719197688</v>
      </c>
      <c r="E28" s="5">
        <f t="shared" si="2"/>
        <v>-0.35212263354889378</v>
      </c>
      <c r="F28" s="5">
        <f t="shared" si="3"/>
        <v>-0.46523974898947174</v>
      </c>
      <c r="G28" s="5">
        <f t="shared" si="0"/>
        <v>0.10046745952034071</v>
      </c>
      <c r="H28" s="5">
        <f t="shared" si="1"/>
        <v>-0.2892392478684872</v>
      </c>
      <c r="I28" s="7">
        <f t="shared" si="4"/>
        <v>0.235813968739256</v>
      </c>
    </row>
    <row r="29" spans="1:9" x14ac:dyDescent="0.25">
      <c r="A29" s="42">
        <v>2</v>
      </c>
      <c r="B29" s="75">
        <v>100</v>
      </c>
      <c r="C29" s="4">
        <v>-0.20248328557784123</v>
      </c>
      <c r="D29" s="4">
        <v>1.5281757402101257E-2</v>
      </c>
      <c r="E29" s="5">
        <f t="shared" si="2"/>
        <v>-0.19339377801130969</v>
      </c>
      <c r="F29" s="5">
        <f t="shared" si="3"/>
        <v>1.4595756831042271E-2</v>
      </c>
      <c r="G29" s="5">
        <f t="shared" si="0"/>
        <v>0.10046745952034071</v>
      </c>
      <c r="H29" s="5">
        <f t="shared" si="1"/>
        <v>-0.2892392478684872</v>
      </c>
      <c r="I29" s="7">
        <f t="shared" si="4"/>
        <v>0.17867013700439616</v>
      </c>
    </row>
    <row r="30" spans="1:9" x14ac:dyDescent="0.25">
      <c r="A30" s="42">
        <v>2</v>
      </c>
      <c r="B30" s="75">
        <v>100</v>
      </c>
      <c r="C30" s="4">
        <v>-2.1012416427887742E-2</v>
      </c>
      <c r="D30" s="4">
        <v>-0.16427889207258892</v>
      </c>
      <c r="E30" s="5">
        <f t="shared" si="2"/>
        <v>-2.0069165642681703E-2</v>
      </c>
      <c r="F30" s="5">
        <f t="shared" si="3"/>
        <v>-0.15690438593370482</v>
      </c>
      <c r="G30" s="5">
        <f t="shared" si="0"/>
        <v>0.10046745952034071</v>
      </c>
      <c r="H30" s="5">
        <f t="shared" si="1"/>
        <v>-0.2892392478684872</v>
      </c>
      <c r="I30" s="7">
        <f t="shared" si="4"/>
        <v>3.2041593688988887E-2</v>
      </c>
    </row>
    <row r="31" spans="1:9" x14ac:dyDescent="0.25">
      <c r="A31" s="42">
        <v>2</v>
      </c>
      <c r="B31" s="75">
        <v>100</v>
      </c>
      <c r="C31" s="4">
        <v>8.9780324737345943E-2</v>
      </c>
      <c r="D31" s="4">
        <v>-6.3037249283666622E-2</v>
      </c>
      <c r="E31" s="5">
        <f t="shared" si="2"/>
        <v>8.5750071382374352E-2</v>
      </c>
      <c r="F31" s="5">
        <f t="shared" si="3"/>
        <v>-6.0207496928048353E-2</v>
      </c>
      <c r="G31" s="5">
        <f t="shared" si="0"/>
        <v>0.10046745952034071</v>
      </c>
      <c r="H31" s="5">
        <f t="shared" si="1"/>
        <v>-0.2892392478684872</v>
      </c>
      <c r="I31" s="7">
        <f t="shared" si="4"/>
        <v>5.2672144452446765E-2</v>
      </c>
    </row>
    <row r="32" spans="1:9" x14ac:dyDescent="0.25">
      <c r="A32" s="42">
        <v>2</v>
      </c>
      <c r="B32" s="75">
        <v>100</v>
      </c>
      <c r="C32" s="4">
        <v>4.5845272206303772E-2</v>
      </c>
      <c r="D32" s="4">
        <v>-6.3037249283666622E-2</v>
      </c>
      <c r="E32" s="5">
        <f t="shared" si="2"/>
        <v>4.3787270493126813E-2</v>
      </c>
      <c r="F32" s="5">
        <f t="shared" si="3"/>
        <v>-6.0207496928048353E-2</v>
      </c>
      <c r="G32" s="5">
        <f t="shared" si="0"/>
        <v>0.10046745952034071</v>
      </c>
      <c r="H32" s="5">
        <f t="shared" si="1"/>
        <v>-0.2892392478684872</v>
      </c>
      <c r="I32" s="7">
        <f t="shared" si="4"/>
        <v>5.5668186767003913E-2</v>
      </c>
    </row>
    <row r="33" spans="1:9" x14ac:dyDescent="0.25">
      <c r="A33" s="42">
        <v>2</v>
      </c>
      <c r="B33" s="75">
        <v>100</v>
      </c>
      <c r="C33" s="42">
        <v>8.0229226361031178E-2</v>
      </c>
      <c r="D33" s="42">
        <v>-0.70869149952244592</v>
      </c>
      <c r="E33" s="43">
        <f t="shared" ref="E33:E37" si="5">(C33)/(0.01047*$B33)</f>
        <v>7.6627723362971523E-2</v>
      </c>
      <c r="F33" s="43">
        <f t="shared" ref="F33:F37" si="6">(D33)/(0.01047*$B33)</f>
        <v>-0.67687822303958545</v>
      </c>
      <c r="G33" s="43">
        <f t="shared" ref="G33:G37" si="7">AVERAGEIF($A:$A,"="&amp;$A33,E:E)</f>
        <v>0.10046745952034071</v>
      </c>
      <c r="H33" s="43">
        <f t="shared" ref="H33:H37" si="8">AVERAGEIF($A:$A,"="&amp;$A33,F:F)</f>
        <v>-0.2892392478684872</v>
      </c>
      <c r="I33" s="44">
        <f t="shared" ref="I33:I37" si="9">POWER(E33-G33,2)+POWER(F33-H33,2)</f>
        <v>0.15083230809175227</v>
      </c>
    </row>
    <row r="34" spans="1:9" x14ac:dyDescent="0.25">
      <c r="A34" s="42">
        <v>2</v>
      </c>
      <c r="B34" s="79">
        <v>100</v>
      </c>
      <c r="C34" s="42">
        <v>0.30372492836676185</v>
      </c>
      <c r="D34" s="42">
        <v>-0.60936007640878698</v>
      </c>
      <c r="E34" s="43">
        <f t="shared" si="5"/>
        <v>0.29009066701696451</v>
      </c>
      <c r="F34" s="43">
        <f t="shared" si="6"/>
        <v>-0.58200580363780996</v>
      </c>
      <c r="G34" s="43">
        <f t="shared" si="7"/>
        <v>0.10046745952034071</v>
      </c>
      <c r="H34" s="43">
        <f t="shared" si="8"/>
        <v>-0.2892392478684872</v>
      </c>
      <c r="I34" s="44">
        <f t="shared" si="9"/>
        <v>0.12166921699833963</v>
      </c>
    </row>
    <row r="35" spans="1:9" x14ac:dyDescent="0.25">
      <c r="A35" s="42">
        <v>2</v>
      </c>
      <c r="B35" s="79">
        <v>100</v>
      </c>
      <c r="C35" s="42">
        <v>0.48328557784145032</v>
      </c>
      <c r="D35" s="42">
        <v>-0.32855778414517617</v>
      </c>
      <c r="E35" s="43">
        <f t="shared" si="5"/>
        <v>0.46159080978170997</v>
      </c>
      <c r="F35" s="43">
        <f t="shared" si="6"/>
        <v>-0.31380877186740802</v>
      </c>
      <c r="G35" s="43">
        <f t="shared" si="7"/>
        <v>0.10046745952034071</v>
      </c>
      <c r="H35" s="43">
        <f t="shared" si="8"/>
        <v>-0.2892392478684872</v>
      </c>
      <c r="I35" s="44">
        <f t="shared" si="9"/>
        <v>0.13101373561352916</v>
      </c>
    </row>
    <row r="36" spans="1:9" x14ac:dyDescent="0.25">
      <c r="A36" s="42">
        <v>2</v>
      </c>
      <c r="B36" s="79">
        <v>100</v>
      </c>
      <c r="C36" s="42">
        <v>0.57115568290353291</v>
      </c>
      <c r="D36" s="42">
        <v>-9.5510983763132426E-2</v>
      </c>
      <c r="E36" s="43">
        <f t="shared" si="5"/>
        <v>0.54551641156020336</v>
      </c>
      <c r="F36" s="43">
        <f t="shared" si="6"/>
        <v>-9.1223480194013787E-2</v>
      </c>
      <c r="G36" s="43">
        <f t="shared" si="7"/>
        <v>0.10046745952034071</v>
      </c>
      <c r="H36" s="43">
        <f t="shared" si="8"/>
        <v>-0.2892392478684872</v>
      </c>
      <c r="I36" s="44">
        <f t="shared" si="9"/>
        <v>0.23727881395949102</v>
      </c>
    </row>
    <row r="37" spans="1:9" x14ac:dyDescent="0.25">
      <c r="A37" s="42">
        <v>2</v>
      </c>
      <c r="B37" s="79">
        <v>100</v>
      </c>
      <c r="C37" s="42">
        <v>0.7277936962750704</v>
      </c>
      <c r="D37" s="42">
        <v>-0.16236867239732564</v>
      </c>
      <c r="E37" s="43">
        <f t="shared" si="5"/>
        <v>0.6951229190783863</v>
      </c>
      <c r="F37" s="43">
        <f t="shared" si="6"/>
        <v>-0.15507991632982393</v>
      </c>
      <c r="G37" s="43">
        <f t="shared" si="7"/>
        <v>0.10046745952034071</v>
      </c>
      <c r="H37" s="43">
        <f t="shared" si="8"/>
        <v>-0.2892392478684872</v>
      </c>
      <c r="I37" s="44">
        <f t="shared" si="9"/>
        <v>0.37161384182109131</v>
      </c>
    </row>
  </sheetData>
  <mergeCells count="2">
    <mergeCell ref="C1:D1"/>
    <mergeCell ref="E1:I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SK+1</vt:lpstr>
      <vt:lpstr>CCI</vt:lpstr>
      <vt:lpstr>Gemtech</vt:lpstr>
      <vt:lpstr>SK+2</vt:lpstr>
      <vt:lpstr>Aguila</vt:lpstr>
      <vt:lpstr>SK+Combined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2014-05-04T23:53:00Z</dcterms:created>
  <dcterms:modified xsi:type="dcterms:W3CDTF">2017-06-02T18:24:13Z</dcterms:modified>
</cp:coreProperties>
</file>