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pivotTables/pivotTable8.xml" ContentType="application/vnd.openxmlformats-officedocument.spreadsheetml.pivotTab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pivotTables/pivotTable9.xml" ContentType="application/vnd.openxmlformats-officedocument.spreadsheetml.pivotTab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pivotTables/pivotTable10.xml" ContentType="application/vnd.openxmlformats-officedocument.spreadsheetml.pivot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380" windowWidth="18820" windowHeight="7600"/>
  </bookViews>
  <sheets>
    <sheet name="Gemtech25yd" sheetId="6" r:id="rId1"/>
    <sheet name="SK+25yd" sheetId="4" r:id="rId2"/>
    <sheet name="SK+50yd" sheetId="5" r:id="rId3"/>
    <sheet name="Eley25yd" sheetId="3" r:id="rId4"/>
    <sheet name="Eley50yd" sheetId="1" r:id="rId5"/>
    <sheet name="Eley25v50" sheetId="2" r:id="rId6"/>
    <sheet name="Champion25yd" sheetId="7" r:id="rId7"/>
    <sheet name="CCISV25yd" sheetId="8" r:id="rId8"/>
    <sheet name="CCISVunsup" sheetId="9" r:id="rId9"/>
    <sheet name="EleyClubUnsup" sheetId="10" r:id="rId10"/>
    <sheet name="GemtechUnsup" sheetId="11" r:id="rId11"/>
  </sheets>
  <calcPr calcId="145621"/>
  <pivotCaches>
    <pivotCache cacheId="94" r:id="rId12"/>
    <pivotCache cacheId="95" r:id="rId13"/>
    <pivotCache cacheId="96" r:id="rId14"/>
    <pivotCache cacheId="97" r:id="rId15"/>
    <pivotCache cacheId="98" r:id="rId16"/>
    <pivotCache cacheId="99" r:id="rId17"/>
    <pivotCache cacheId="100" r:id="rId18"/>
    <pivotCache cacheId="101" r:id="rId19"/>
    <pivotCache cacheId="102" r:id="rId20"/>
    <pivotCache cacheId="103" r:id="rId21"/>
  </pivotCaches>
</workbook>
</file>

<file path=xl/calcChain.xml><?xml version="1.0" encoding="utf-8"?>
<calcChain xmlns="http://schemas.openxmlformats.org/spreadsheetml/2006/main">
  <c r="F12" i="11" l="1"/>
  <c r="E12" i="11"/>
  <c r="F11" i="11"/>
  <c r="E11" i="11"/>
  <c r="F10" i="11"/>
  <c r="E10" i="11"/>
  <c r="T9" i="11"/>
  <c r="F9" i="11"/>
  <c r="E9" i="11"/>
  <c r="T8" i="11"/>
  <c r="F8" i="11"/>
  <c r="E8" i="11"/>
  <c r="F7" i="11"/>
  <c r="E7" i="11"/>
  <c r="F6" i="11"/>
  <c r="E6" i="11"/>
  <c r="F5" i="11"/>
  <c r="E5" i="11"/>
  <c r="H4" i="11"/>
  <c r="J4" i="11" s="1"/>
  <c r="F4" i="11"/>
  <c r="E4" i="11"/>
  <c r="Y3" i="11"/>
  <c r="X3" i="11"/>
  <c r="U3" i="11"/>
  <c r="V3" i="11" s="1"/>
  <c r="W3" i="11" s="1"/>
  <c r="H3" i="11"/>
  <c r="J3" i="11" s="1"/>
  <c r="F3" i="11"/>
  <c r="H11" i="11" s="1"/>
  <c r="J11" i="11" s="1"/>
  <c r="E3" i="11"/>
  <c r="G10" i="11" s="1"/>
  <c r="Y2" i="11"/>
  <c r="X2" i="11"/>
  <c r="U2" i="11"/>
  <c r="V2" i="11" s="1"/>
  <c r="W2" i="11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H13" i="10" s="1"/>
  <c r="J13" i="10" s="1"/>
  <c r="E14" i="10"/>
  <c r="F13" i="10"/>
  <c r="H21" i="10" s="1"/>
  <c r="J21" i="10" s="1"/>
  <c r="E13" i="10"/>
  <c r="G20" i="10" s="1"/>
  <c r="F12" i="10"/>
  <c r="E12" i="10"/>
  <c r="F11" i="10"/>
  <c r="E11" i="10"/>
  <c r="F10" i="10"/>
  <c r="E10" i="10"/>
  <c r="T9" i="10"/>
  <c r="F9" i="10"/>
  <c r="E9" i="10"/>
  <c r="T8" i="10"/>
  <c r="F8" i="10"/>
  <c r="E8" i="10"/>
  <c r="F7" i="10"/>
  <c r="E7" i="10"/>
  <c r="F6" i="10"/>
  <c r="E6" i="10"/>
  <c r="G5" i="10"/>
  <c r="F5" i="10"/>
  <c r="E5" i="10"/>
  <c r="Y4" i="10"/>
  <c r="X4" i="10"/>
  <c r="U4" i="10"/>
  <c r="V4" i="10" s="1"/>
  <c r="W4" i="10" s="1"/>
  <c r="F4" i="10"/>
  <c r="H6" i="10" s="1"/>
  <c r="J6" i="10" s="1"/>
  <c r="E4" i="10"/>
  <c r="Y3" i="10"/>
  <c r="X3" i="10"/>
  <c r="U3" i="10"/>
  <c r="V3" i="10" s="1"/>
  <c r="W3" i="10" s="1"/>
  <c r="F3" i="10"/>
  <c r="E3" i="10"/>
  <c r="Y2" i="10"/>
  <c r="X2" i="10"/>
  <c r="U2" i="10"/>
  <c r="V2" i="10" s="1"/>
  <c r="W2" i="10" s="1"/>
  <c r="I13" i="9"/>
  <c r="J13" i="9"/>
  <c r="I14" i="9"/>
  <c r="J14" i="9"/>
  <c r="I15" i="9"/>
  <c r="J15" i="9"/>
  <c r="I16" i="9"/>
  <c r="J16" i="9"/>
  <c r="I17" i="9"/>
  <c r="J17" i="9"/>
  <c r="I18" i="9"/>
  <c r="J18" i="9"/>
  <c r="I19" i="9"/>
  <c r="J19" i="9"/>
  <c r="I20" i="9"/>
  <c r="J20" i="9"/>
  <c r="I21" i="9"/>
  <c r="J21" i="9"/>
  <c r="I22" i="9"/>
  <c r="J22" i="9"/>
  <c r="I23" i="9"/>
  <c r="J23" i="9"/>
  <c r="I24" i="9"/>
  <c r="J24" i="9"/>
  <c r="I25" i="9"/>
  <c r="J25" i="9"/>
  <c r="I26" i="9"/>
  <c r="J26" i="9"/>
  <c r="I27" i="9"/>
  <c r="J27" i="9"/>
  <c r="I28" i="9"/>
  <c r="J28" i="9"/>
  <c r="I29" i="9"/>
  <c r="J29" i="9"/>
  <c r="I30" i="9"/>
  <c r="J30" i="9"/>
  <c r="I31" i="9"/>
  <c r="J31" i="9"/>
  <c r="I32" i="9"/>
  <c r="J32" i="9"/>
  <c r="F32" i="9"/>
  <c r="E32" i="9"/>
  <c r="F31" i="9"/>
  <c r="E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F13" i="9"/>
  <c r="H15" i="9" s="1"/>
  <c r="E13" i="9"/>
  <c r="F12" i="9"/>
  <c r="E12" i="9"/>
  <c r="F11" i="9"/>
  <c r="E11" i="9"/>
  <c r="F10" i="9"/>
  <c r="E10" i="9"/>
  <c r="F9" i="9"/>
  <c r="E9" i="9"/>
  <c r="F8" i="9"/>
  <c r="E8" i="9"/>
  <c r="T9" i="9"/>
  <c r="F7" i="9"/>
  <c r="E7" i="9"/>
  <c r="T8" i="9"/>
  <c r="F6" i="9"/>
  <c r="E6" i="9"/>
  <c r="F5" i="9"/>
  <c r="E5" i="9"/>
  <c r="Y4" i="9"/>
  <c r="X4" i="9"/>
  <c r="U4" i="9"/>
  <c r="V4" i="9" s="1"/>
  <c r="W4" i="9" s="1"/>
  <c r="F4" i="9"/>
  <c r="E4" i="9"/>
  <c r="Y3" i="9"/>
  <c r="X3" i="9"/>
  <c r="U3" i="9"/>
  <c r="V3" i="9" s="1"/>
  <c r="W3" i="9" s="1"/>
  <c r="F3" i="9"/>
  <c r="E3" i="9"/>
  <c r="Y2" i="9"/>
  <c r="X2" i="9"/>
  <c r="U2" i="9"/>
  <c r="V2" i="9" s="1"/>
  <c r="W2" i="9" s="1"/>
  <c r="N3" i="11"/>
  <c r="N2" i="11"/>
  <c r="N2" i="10"/>
  <c r="N3" i="10"/>
  <c r="N2" i="9"/>
  <c r="N3" i="9"/>
  <c r="N9" i="11" l="1"/>
  <c r="M8" i="11"/>
  <c r="M7" i="11"/>
  <c r="M6" i="11"/>
  <c r="N1" i="11"/>
  <c r="I10" i="11"/>
  <c r="H10" i="11"/>
  <c r="J10" i="11" s="1"/>
  <c r="G3" i="11"/>
  <c r="K3" i="11" s="1"/>
  <c r="G6" i="11"/>
  <c r="I6" i="11" s="1"/>
  <c r="G7" i="11"/>
  <c r="I7" i="11" s="1"/>
  <c r="G8" i="11"/>
  <c r="I8" i="11" s="1"/>
  <c r="G12" i="11"/>
  <c r="G4" i="11"/>
  <c r="K4" i="11" s="1"/>
  <c r="G5" i="11"/>
  <c r="H6" i="11"/>
  <c r="J6" i="11" s="1"/>
  <c r="H7" i="11"/>
  <c r="J7" i="11" s="1"/>
  <c r="H8" i="11"/>
  <c r="J8" i="11" s="1"/>
  <c r="G9" i="11"/>
  <c r="G11" i="11"/>
  <c r="I11" i="11" s="1"/>
  <c r="H12" i="11"/>
  <c r="J12" i="11" s="1"/>
  <c r="I3" i="11"/>
  <c r="H5" i="11"/>
  <c r="J5" i="11" s="1"/>
  <c r="H9" i="11"/>
  <c r="J9" i="11" s="1"/>
  <c r="G12" i="10"/>
  <c r="G4" i="10"/>
  <c r="H8" i="10"/>
  <c r="J8" i="10" s="1"/>
  <c r="H10" i="10"/>
  <c r="J10" i="10" s="1"/>
  <c r="H4" i="10"/>
  <c r="J4" i="10" s="1"/>
  <c r="H7" i="10"/>
  <c r="J7" i="10" s="1"/>
  <c r="H3" i="10"/>
  <c r="J3" i="10" s="1"/>
  <c r="K4" i="10"/>
  <c r="I5" i="10"/>
  <c r="I4" i="10"/>
  <c r="N1" i="10"/>
  <c r="N9" i="10"/>
  <c r="M8" i="10"/>
  <c r="M7" i="10"/>
  <c r="M6" i="10"/>
  <c r="I12" i="10"/>
  <c r="I20" i="10"/>
  <c r="G9" i="10"/>
  <c r="G11" i="10"/>
  <c r="H12" i="10"/>
  <c r="J12" i="10" s="1"/>
  <c r="G15" i="10"/>
  <c r="H16" i="10"/>
  <c r="J16" i="10" s="1"/>
  <c r="G19" i="10"/>
  <c r="I19" i="10" s="1"/>
  <c r="H20" i="10"/>
  <c r="J20" i="10" s="1"/>
  <c r="H5" i="10"/>
  <c r="J5" i="10" s="1"/>
  <c r="H9" i="10"/>
  <c r="J9" i="10" s="1"/>
  <c r="G10" i="10"/>
  <c r="I10" i="10" s="1"/>
  <c r="H11" i="10"/>
  <c r="J11" i="10" s="1"/>
  <c r="G14" i="10"/>
  <c r="I14" i="10" s="1"/>
  <c r="H15" i="10"/>
  <c r="J15" i="10" s="1"/>
  <c r="G18" i="10"/>
  <c r="H19" i="10"/>
  <c r="J19" i="10" s="1"/>
  <c r="G22" i="10"/>
  <c r="I22" i="10" s="1"/>
  <c r="G13" i="10"/>
  <c r="I13" i="10" s="1"/>
  <c r="H14" i="10"/>
  <c r="J14" i="10" s="1"/>
  <c r="G17" i="10"/>
  <c r="I17" i="10" s="1"/>
  <c r="H18" i="10"/>
  <c r="J18" i="10" s="1"/>
  <c r="G21" i="10"/>
  <c r="K21" i="10" s="1"/>
  <c r="H22" i="10"/>
  <c r="J22" i="10" s="1"/>
  <c r="G3" i="10"/>
  <c r="I3" i="10" s="1"/>
  <c r="G6" i="10"/>
  <c r="K6" i="10" s="1"/>
  <c r="G7" i="10"/>
  <c r="K7" i="10" s="1"/>
  <c r="G8" i="10"/>
  <c r="K8" i="10" s="1"/>
  <c r="G16" i="10"/>
  <c r="K16" i="10" s="1"/>
  <c r="H17" i="10"/>
  <c r="J17" i="10" s="1"/>
  <c r="H7" i="9"/>
  <c r="J7" i="9" s="1"/>
  <c r="G16" i="9"/>
  <c r="G10" i="9"/>
  <c r="I10" i="9" s="1"/>
  <c r="H13" i="9"/>
  <c r="M6" i="9"/>
  <c r="N9" i="9"/>
  <c r="M8" i="9"/>
  <c r="N1" i="9"/>
  <c r="M7" i="9"/>
  <c r="G4" i="9"/>
  <c r="G30" i="9"/>
  <c r="G26" i="9"/>
  <c r="G22" i="9"/>
  <c r="H17" i="9"/>
  <c r="G18" i="9"/>
  <c r="G11" i="9"/>
  <c r="G7" i="9"/>
  <c r="K7" i="9" s="1"/>
  <c r="G5" i="9"/>
  <c r="H12" i="9"/>
  <c r="J12" i="9" s="1"/>
  <c r="H6" i="9"/>
  <c r="J6" i="9" s="1"/>
  <c r="G9" i="9"/>
  <c r="I9" i="9" s="1"/>
  <c r="H10" i="9"/>
  <c r="J10" i="9" s="1"/>
  <c r="G3" i="9"/>
  <c r="I3" i="9" s="1"/>
  <c r="H4" i="9"/>
  <c r="J4" i="9" s="1"/>
  <c r="H11" i="9"/>
  <c r="J11" i="9" s="1"/>
  <c r="G12" i="9"/>
  <c r="K12" i="9" s="1"/>
  <c r="H32" i="9"/>
  <c r="H28" i="9"/>
  <c r="H24" i="9"/>
  <c r="H20" i="9"/>
  <c r="H16" i="9"/>
  <c r="H29" i="9"/>
  <c r="H25" i="9"/>
  <c r="H21" i="9"/>
  <c r="H30" i="9"/>
  <c r="H26" i="9"/>
  <c r="H22" i="9"/>
  <c r="H18" i="9"/>
  <c r="H14" i="9"/>
  <c r="H31" i="9"/>
  <c r="H27" i="9"/>
  <c r="H23" i="9"/>
  <c r="H19" i="9"/>
  <c r="H3" i="9"/>
  <c r="J3" i="9" s="1"/>
  <c r="H5" i="9"/>
  <c r="J5" i="9" s="1"/>
  <c r="G6" i="9"/>
  <c r="I6" i="9" s="1"/>
  <c r="I7" i="9"/>
  <c r="G8" i="9"/>
  <c r="I8" i="9" s="1"/>
  <c r="G14" i="9"/>
  <c r="H8" i="9"/>
  <c r="J8" i="9" s="1"/>
  <c r="H9" i="9"/>
  <c r="J9" i="9" s="1"/>
  <c r="G13" i="9"/>
  <c r="G17" i="9"/>
  <c r="G21" i="9"/>
  <c r="G25" i="9"/>
  <c r="G29" i="9"/>
  <c r="G20" i="9"/>
  <c r="G24" i="9"/>
  <c r="K24" i="9" s="1"/>
  <c r="G28" i="9"/>
  <c r="G32" i="9"/>
  <c r="G15" i="9"/>
  <c r="K15" i="9" s="1"/>
  <c r="G19" i="9"/>
  <c r="K19" i="9" s="1"/>
  <c r="G23" i="9"/>
  <c r="G27" i="9"/>
  <c r="G31" i="9"/>
  <c r="I3" i="7"/>
  <c r="K9" i="11" l="1"/>
  <c r="K5" i="11"/>
  <c r="I9" i="11"/>
  <c r="K12" i="11"/>
  <c r="K8" i="11"/>
  <c r="K6" i="11"/>
  <c r="I4" i="11"/>
  <c r="I12" i="11"/>
  <c r="K10" i="11"/>
  <c r="K11" i="11"/>
  <c r="K7" i="11"/>
  <c r="I5" i="11"/>
  <c r="K18" i="10"/>
  <c r="K10" i="10"/>
  <c r="K3" i="10"/>
  <c r="K13" i="10"/>
  <c r="K22" i="10"/>
  <c r="I8" i="10"/>
  <c r="I21" i="10"/>
  <c r="K11" i="10"/>
  <c r="K20" i="10"/>
  <c r="I7" i="10"/>
  <c r="K15" i="10"/>
  <c r="K9" i="10"/>
  <c r="K5" i="10"/>
  <c r="I18" i="10"/>
  <c r="K14" i="10"/>
  <c r="I6" i="10"/>
  <c r="K19" i="10"/>
  <c r="K17" i="10"/>
  <c r="I16" i="10"/>
  <c r="I11" i="10"/>
  <c r="K12" i="10"/>
  <c r="I15" i="10"/>
  <c r="I9" i="10"/>
  <c r="K18" i="9"/>
  <c r="K13" i="9"/>
  <c r="K21" i="9"/>
  <c r="K23" i="9"/>
  <c r="K25" i="9"/>
  <c r="K31" i="9"/>
  <c r="K4" i="9"/>
  <c r="K17" i="9"/>
  <c r="K20" i="9"/>
  <c r="K27" i="9"/>
  <c r="K29" i="9"/>
  <c r="I12" i="9"/>
  <c r="K28" i="9"/>
  <c r="K3" i="9"/>
  <c r="K11" i="9"/>
  <c r="K22" i="9"/>
  <c r="K6" i="9"/>
  <c r="K10" i="9"/>
  <c r="K14" i="9"/>
  <c r="K32" i="9"/>
  <c r="I11" i="9"/>
  <c r="K26" i="9"/>
  <c r="K9" i="9"/>
  <c r="K8" i="9"/>
  <c r="I4" i="9"/>
  <c r="K5" i="9"/>
  <c r="K30" i="9"/>
  <c r="I5" i="9"/>
  <c r="K16" i="9"/>
  <c r="T7" i="8"/>
  <c r="T6" i="8"/>
  <c r="E23" i="8"/>
  <c r="F23" i="8"/>
  <c r="G23" i="8"/>
  <c r="I23" i="8" s="1"/>
  <c r="E24" i="8"/>
  <c r="F24" i="8"/>
  <c r="H24" i="8"/>
  <c r="J24" i="8" s="1"/>
  <c r="E25" i="8"/>
  <c r="G25" i="8" s="1"/>
  <c r="I25" i="8" s="1"/>
  <c r="F25" i="8"/>
  <c r="H23" i="8" s="1"/>
  <c r="J23" i="8" s="1"/>
  <c r="E26" i="8"/>
  <c r="F26" i="8"/>
  <c r="H26" i="8" s="1"/>
  <c r="J26" i="8" s="1"/>
  <c r="E27" i="8"/>
  <c r="F27" i="8"/>
  <c r="G27" i="8"/>
  <c r="I27" i="8" s="1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E7" i="8"/>
  <c r="F6" i="8"/>
  <c r="E6" i="8"/>
  <c r="F5" i="8"/>
  <c r="E5" i="8"/>
  <c r="F4" i="8"/>
  <c r="E4" i="8"/>
  <c r="Y3" i="8"/>
  <c r="X3" i="8"/>
  <c r="U3" i="8"/>
  <c r="V3" i="8" s="1"/>
  <c r="W3" i="8" s="1"/>
  <c r="F3" i="8"/>
  <c r="E3" i="8"/>
  <c r="Y2" i="8"/>
  <c r="X2" i="8"/>
  <c r="U2" i="8"/>
  <c r="V2" i="8" s="1"/>
  <c r="W2" i="8" s="1"/>
  <c r="T7" i="7"/>
  <c r="T6" i="7"/>
  <c r="F42" i="7"/>
  <c r="E42" i="7"/>
  <c r="F41" i="7"/>
  <c r="E41" i="7"/>
  <c r="F40" i="7"/>
  <c r="E40" i="7"/>
  <c r="F39" i="7"/>
  <c r="E39" i="7"/>
  <c r="F38" i="7"/>
  <c r="E38" i="7"/>
  <c r="F37" i="7"/>
  <c r="E37" i="7"/>
  <c r="F36" i="7"/>
  <c r="E36" i="7"/>
  <c r="F35" i="7"/>
  <c r="E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H41" i="7" s="1"/>
  <c r="J41" i="7" s="1"/>
  <c r="E15" i="7"/>
  <c r="F14" i="7"/>
  <c r="H20" i="7" s="1"/>
  <c r="J20" i="7" s="1"/>
  <c r="E14" i="7"/>
  <c r="H13" i="7"/>
  <c r="J13" i="7" s="1"/>
  <c r="F13" i="7"/>
  <c r="H39" i="7" s="1"/>
  <c r="J39" i="7" s="1"/>
  <c r="E13" i="7"/>
  <c r="G42" i="7" s="1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Y4" i="7"/>
  <c r="X4" i="7"/>
  <c r="V4" i="7"/>
  <c r="W4" i="7" s="1"/>
  <c r="U4" i="7"/>
  <c r="F4" i="7"/>
  <c r="E4" i="7"/>
  <c r="Y3" i="7"/>
  <c r="X3" i="7"/>
  <c r="U3" i="7"/>
  <c r="V3" i="7" s="1"/>
  <c r="W3" i="7" s="1"/>
  <c r="F3" i="7"/>
  <c r="H11" i="7" s="1"/>
  <c r="J11" i="7" s="1"/>
  <c r="E3" i="7"/>
  <c r="G10" i="7" s="1"/>
  <c r="Y2" i="7"/>
  <c r="X2" i="7"/>
  <c r="U2" i="7"/>
  <c r="V2" i="7" s="1"/>
  <c r="W2" i="7" s="1"/>
  <c r="T7" i="6"/>
  <c r="T6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G27" i="6" s="1"/>
  <c r="K27" i="6" s="1"/>
  <c r="F20" i="6"/>
  <c r="H27" i="6" s="1"/>
  <c r="J27" i="6" s="1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Y4" i="6"/>
  <c r="X4" i="6"/>
  <c r="U4" i="6"/>
  <c r="V4" i="6" s="1"/>
  <c r="W4" i="6" s="1"/>
  <c r="F4" i="6"/>
  <c r="E4" i="6"/>
  <c r="Y3" i="6"/>
  <c r="X3" i="6"/>
  <c r="U3" i="6"/>
  <c r="V3" i="6" s="1"/>
  <c r="W3" i="6" s="1"/>
  <c r="F3" i="6"/>
  <c r="E3" i="6"/>
  <c r="G18" i="6" s="1"/>
  <c r="Y2" i="6"/>
  <c r="X2" i="6"/>
  <c r="U2" i="6"/>
  <c r="V2" i="6" s="1"/>
  <c r="W2" i="6" s="1"/>
  <c r="T7" i="5"/>
  <c r="T6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F4" i="5"/>
  <c r="E4" i="5"/>
  <c r="Y3" i="5"/>
  <c r="X3" i="5"/>
  <c r="U3" i="5"/>
  <c r="V3" i="5" s="1"/>
  <c r="W3" i="5" s="1"/>
  <c r="F3" i="5"/>
  <c r="H19" i="5" s="1"/>
  <c r="J19" i="5" s="1"/>
  <c r="E3" i="5"/>
  <c r="G22" i="5" s="1"/>
  <c r="Y2" i="5"/>
  <c r="X2" i="5"/>
  <c r="U2" i="5"/>
  <c r="V2" i="5" s="1"/>
  <c r="W2" i="5" s="1"/>
  <c r="T7" i="4"/>
  <c r="T6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H8" i="4"/>
  <c r="J8" i="4" s="1"/>
  <c r="F8" i="4"/>
  <c r="E8" i="4"/>
  <c r="H7" i="4"/>
  <c r="J7" i="4" s="1"/>
  <c r="F7" i="4"/>
  <c r="E7" i="4"/>
  <c r="H6" i="4"/>
  <c r="J6" i="4" s="1"/>
  <c r="F6" i="4"/>
  <c r="E6" i="4"/>
  <c r="H5" i="4"/>
  <c r="J5" i="4" s="1"/>
  <c r="F5" i="4"/>
  <c r="E5" i="4"/>
  <c r="H4" i="4"/>
  <c r="J4" i="4" s="1"/>
  <c r="G4" i="4"/>
  <c r="K4" i="4" s="1"/>
  <c r="F4" i="4"/>
  <c r="E4" i="4"/>
  <c r="I4" i="4" s="1"/>
  <c r="Y3" i="4"/>
  <c r="X3" i="4"/>
  <c r="U3" i="4"/>
  <c r="V3" i="4" s="1"/>
  <c r="W3" i="4" s="1"/>
  <c r="H3" i="4"/>
  <c r="J3" i="4" s="1"/>
  <c r="F3" i="4"/>
  <c r="H19" i="4" s="1"/>
  <c r="J19" i="4" s="1"/>
  <c r="E3" i="4"/>
  <c r="G22" i="4" s="1"/>
  <c r="Y2" i="4"/>
  <c r="X2" i="4"/>
  <c r="U2" i="4"/>
  <c r="V2" i="4" s="1"/>
  <c r="W2" i="4" s="1"/>
  <c r="T7" i="1"/>
  <c r="T6" i="1"/>
  <c r="T7" i="3"/>
  <c r="T6" i="3"/>
  <c r="F22" i="3"/>
  <c r="E22" i="3"/>
  <c r="H21" i="3"/>
  <c r="J21" i="3" s="1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Y3" i="3"/>
  <c r="X3" i="3"/>
  <c r="U3" i="3"/>
  <c r="V3" i="3" s="1"/>
  <c r="W3" i="3" s="1"/>
  <c r="F3" i="3"/>
  <c r="H19" i="3" s="1"/>
  <c r="J19" i="3" s="1"/>
  <c r="E3" i="3"/>
  <c r="G22" i="3" s="1"/>
  <c r="Y2" i="3"/>
  <c r="X2" i="3"/>
  <c r="U2" i="3"/>
  <c r="V2" i="3" s="1"/>
  <c r="W2" i="3" s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Y3" i="1"/>
  <c r="X3" i="1"/>
  <c r="U3" i="1"/>
  <c r="V3" i="1" s="1"/>
  <c r="W3" i="1" s="1"/>
  <c r="F3" i="1"/>
  <c r="H19" i="1" s="1"/>
  <c r="J19" i="1" s="1"/>
  <c r="E3" i="1"/>
  <c r="G22" i="1" s="1"/>
  <c r="Y2" i="1"/>
  <c r="X2" i="1"/>
  <c r="U2" i="1"/>
  <c r="V2" i="1" s="1"/>
  <c r="W2" i="1" s="1"/>
  <c r="N3" i="8"/>
  <c r="N2" i="8"/>
  <c r="N3" i="3"/>
  <c r="N2" i="3"/>
  <c r="N3" i="7"/>
  <c r="N2" i="7"/>
  <c r="N3" i="6"/>
  <c r="N2" i="6"/>
  <c r="N2" i="1"/>
  <c r="N3" i="1"/>
  <c r="N2" i="4"/>
  <c r="N3" i="4"/>
  <c r="N3" i="5"/>
  <c r="N2" i="5"/>
  <c r="K26" i="8" l="1"/>
  <c r="K23" i="8"/>
  <c r="H27" i="8"/>
  <c r="G26" i="8"/>
  <c r="I26" i="8" s="1"/>
  <c r="H25" i="8"/>
  <c r="J25" i="8" s="1"/>
  <c r="G24" i="8"/>
  <c r="G22" i="8"/>
  <c r="H19" i="8"/>
  <c r="J19" i="8" s="1"/>
  <c r="M7" i="8"/>
  <c r="N1" i="8"/>
  <c r="N9" i="8"/>
  <c r="M8" i="8"/>
  <c r="M6" i="8"/>
  <c r="I6" i="8"/>
  <c r="G6" i="8"/>
  <c r="H13" i="8"/>
  <c r="J13" i="8" s="1"/>
  <c r="H6" i="8"/>
  <c r="J6" i="8" s="1"/>
  <c r="H12" i="8"/>
  <c r="J12" i="8" s="1"/>
  <c r="H20" i="8"/>
  <c r="J20" i="8" s="1"/>
  <c r="H4" i="8"/>
  <c r="J4" i="8" s="1"/>
  <c r="H8" i="8"/>
  <c r="J8" i="8" s="1"/>
  <c r="H9" i="8"/>
  <c r="J9" i="8" s="1"/>
  <c r="H10" i="8"/>
  <c r="J10" i="8" s="1"/>
  <c r="G13" i="8"/>
  <c r="I13" i="8" s="1"/>
  <c r="H14" i="8"/>
  <c r="J14" i="8" s="1"/>
  <c r="G17" i="8"/>
  <c r="H18" i="8"/>
  <c r="J18" i="8" s="1"/>
  <c r="G21" i="8"/>
  <c r="I21" i="8" s="1"/>
  <c r="H22" i="8"/>
  <c r="J22" i="8" s="1"/>
  <c r="I22" i="8"/>
  <c r="G12" i="8"/>
  <c r="G16" i="8"/>
  <c r="H17" i="8"/>
  <c r="J17" i="8" s="1"/>
  <c r="G20" i="8"/>
  <c r="I20" i="8" s="1"/>
  <c r="H21" i="8"/>
  <c r="J21" i="8" s="1"/>
  <c r="G3" i="8"/>
  <c r="I3" i="8" s="1"/>
  <c r="G5" i="8"/>
  <c r="I5" i="8" s="1"/>
  <c r="G7" i="8"/>
  <c r="I7" i="8" s="1"/>
  <c r="G11" i="8"/>
  <c r="G15" i="8"/>
  <c r="I15" i="8" s="1"/>
  <c r="H16" i="8"/>
  <c r="J16" i="8" s="1"/>
  <c r="G19" i="8"/>
  <c r="K19" i="8" s="1"/>
  <c r="H3" i="8"/>
  <c r="J3" i="8" s="1"/>
  <c r="G4" i="8"/>
  <c r="H5" i="8"/>
  <c r="J5" i="8" s="1"/>
  <c r="H7" i="8"/>
  <c r="J7" i="8" s="1"/>
  <c r="G8" i="8"/>
  <c r="G9" i="8"/>
  <c r="I9" i="8" s="1"/>
  <c r="G10" i="8"/>
  <c r="I10" i="8" s="1"/>
  <c r="H11" i="8"/>
  <c r="J11" i="8" s="1"/>
  <c r="G14" i="8"/>
  <c r="I14" i="8" s="1"/>
  <c r="H15" i="8"/>
  <c r="J15" i="8" s="1"/>
  <c r="G18" i="8"/>
  <c r="I18" i="8" s="1"/>
  <c r="N9" i="7"/>
  <c r="M8" i="7"/>
  <c r="M7" i="7"/>
  <c r="M6" i="7"/>
  <c r="N1" i="7"/>
  <c r="I25" i="7"/>
  <c r="I41" i="7"/>
  <c r="I20" i="7"/>
  <c r="I28" i="7"/>
  <c r="I36" i="7"/>
  <c r="K4" i="7"/>
  <c r="I12" i="7"/>
  <c r="I11" i="7"/>
  <c r="G16" i="7"/>
  <c r="I18" i="7"/>
  <c r="G20" i="7"/>
  <c r="K20" i="7" s="1"/>
  <c r="G24" i="7"/>
  <c r="H29" i="7"/>
  <c r="J29" i="7" s="1"/>
  <c r="G32" i="7"/>
  <c r="H37" i="7"/>
  <c r="J37" i="7" s="1"/>
  <c r="G40" i="7"/>
  <c r="K40" i="7" s="1"/>
  <c r="H4" i="7"/>
  <c r="J4" i="7" s="1"/>
  <c r="H5" i="7"/>
  <c r="J5" i="7" s="1"/>
  <c r="H6" i="7"/>
  <c r="J6" i="7" s="1"/>
  <c r="H7" i="7"/>
  <c r="J7" i="7" s="1"/>
  <c r="H8" i="7"/>
  <c r="J8" i="7" s="1"/>
  <c r="H9" i="7"/>
  <c r="J9" i="7" s="1"/>
  <c r="H10" i="7"/>
  <c r="J10" i="7" s="1"/>
  <c r="G13" i="7"/>
  <c r="K13" i="7" s="1"/>
  <c r="H14" i="7"/>
  <c r="J14" i="7" s="1"/>
  <c r="G17" i="7"/>
  <c r="I17" i="7" s="1"/>
  <c r="H18" i="7"/>
  <c r="J18" i="7" s="1"/>
  <c r="G21" i="7"/>
  <c r="I21" i="7" s="1"/>
  <c r="H22" i="7"/>
  <c r="J22" i="7" s="1"/>
  <c r="G25" i="7"/>
  <c r="H26" i="7"/>
  <c r="J26" i="7" s="1"/>
  <c r="I27" i="7"/>
  <c r="G29" i="7"/>
  <c r="H30" i="7"/>
  <c r="J30" i="7" s="1"/>
  <c r="G33" i="7"/>
  <c r="K33" i="7" s="1"/>
  <c r="H34" i="7"/>
  <c r="J34" i="7" s="1"/>
  <c r="G37" i="7"/>
  <c r="K37" i="7" s="1"/>
  <c r="H38" i="7"/>
  <c r="J38" i="7" s="1"/>
  <c r="G41" i="7"/>
  <c r="K41" i="7" s="1"/>
  <c r="H42" i="7"/>
  <c r="J42" i="7" s="1"/>
  <c r="I6" i="7"/>
  <c r="I10" i="7"/>
  <c r="G12" i="7"/>
  <c r="H17" i="7"/>
  <c r="J17" i="7" s="1"/>
  <c r="H21" i="7"/>
  <c r="J21" i="7" s="1"/>
  <c r="H25" i="7"/>
  <c r="J25" i="7" s="1"/>
  <c r="G28" i="7"/>
  <c r="I30" i="7"/>
  <c r="H33" i="7"/>
  <c r="J33" i="7" s="1"/>
  <c r="G36" i="7"/>
  <c r="I42" i="7"/>
  <c r="G3" i="7"/>
  <c r="K3" i="7" s="1"/>
  <c r="G11" i="7"/>
  <c r="K11" i="7" s="1"/>
  <c r="H12" i="7"/>
  <c r="J12" i="7" s="1"/>
  <c r="I13" i="7"/>
  <c r="G15" i="7"/>
  <c r="K15" i="7" s="1"/>
  <c r="H16" i="7"/>
  <c r="J16" i="7" s="1"/>
  <c r="G19" i="7"/>
  <c r="I19" i="7" s="1"/>
  <c r="G23" i="7"/>
  <c r="K23" i="7" s="1"/>
  <c r="H24" i="7"/>
  <c r="J24" i="7" s="1"/>
  <c r="G27" i="7"/>
  <c r="K27" i="7" s="1"/>
  <c r="H28" i="7"/>
  <c r="J28" i="7" s="1"/>
  <c r="G31" i="7"/>
  <c r="K31" i="7" s="1"/>
  <c r="H32" i="7"/>
  <c r="J32" i="7" s="1"/>
  <c r="G35" i="7"/>
  <c r="I35" i="7" s="1"/>
  <c r="H36" i="7"/>
  <c r="J36" i="7" s="1"/>
  <c r="G39" i="7"/>
  <c r="K39" i="7" s="1"/>
  <c r="H40" i="7"/>
  <c r="J40" i="7" s="1"/>
  <c r="H3" i="7"/>
  <c r="J3" i="7" s="1"/>
  <c r="G4" i="7"/>
  <c r="I4" i="7" s="1"/>
  <c r="G5" i="7"/>
  <c r="I5" i="7" s="1"/>
  <c r="G6" i="7"/>
  <c r="K6" i="7" s="1"/>
  <c r="G7" i="7"/>
  <c r="K7" i="7" s="1"/>
  <c r="G8" i="7"/>
  <c r="K8" i="7" s="1"/>
  <c r="G9" i="7"/>
  <c r="K9" i="7" s="1"/>
  <c r="G14" i="7"/>
  <c r="I14" i="7" s="1"/>
  <c r="H15" i="7"/>
  <c r="J15" i="7" s="1"/>
  <c r="G18" i="7"/>
  <c r="K18" i="7" s="1"/>
  <c r="H19" i="7"/>
  <c r="J19" i="7" s="1"/>
  <c r="G22" i="7"/>
  <c r="K22" i="7" s="1"/>
  <c r="H23" i="7"/>
  <c r="J23" i="7" s="1"/>
  <c r="G26" i="7"/>
  <c r="K26" i="7" s="1"/>
  <c r="H27" i="7"/>
  <c r="J27" i="7" s="1"/>
  <c r="G30" i="7"/>
  <c r="K30" i="7" s="1"/>
  <c r="H31" i="7"/>
  <c r="J31" i="7" s="1"/>
  <c r="G34" i="7"/>
  <c r="I34" i="7" s="1"/>
  <c r="H35" i="7"/>
  <c r="J35" i="7" s="1"/>
  <c r="G38" i="7"/>
  <c r="I38" i="7" s="1"/>
  <c r="G26" i="6"/>
  <c r="I26" i="6" s="1"/>
  <c r="H19" i="6"/>
  <c r="J19" i="6" s="1"/>
  <c r="H3" i="6"/>
  <c r="J3" i="6" s="1"/>
  <c r="H20" i="6"/>
  <c r="J20" i="6" s="1"/>
  <c r="H28" i="6"/>
  <c r="J28" i="6" s="1"/>
  <c r="N1" i="6"/>
  <c r="N9" i="6"/>
  <c r="M8" i="6"/>
  <c r="M7" i="6"/>
  <c r="M6" i="6"/>
  <c r="K8" i="6"/>
  <c r="K26" i="6"/>
  <c r="I27" i="6"/>
  <c r="H4" i="6"/>
  <c r="J4" i="6" s="1"/>
  <c r="H5" i="6"/>
  <c r="J5" i="6" s="1"/>
  <c r="H6" i="6"/>
  <c r="J6" i="6" s="1"/>
  <c r="H7" i="6"/>
  <c r="J7" i="6" s="1"/>
  <c r="H8" i="6"/>
  <c r="J8" i="6" s="1"/>
  <c r="H9" i="6"/>
  <c r="J9" i="6" s="1"/>
  <c r="H10" i="6"/>
  <c r="J10" i="6" s="1"/>
  <c r="G13" i="6"/>
  <c r="H14" i="6"/>
  <c r="J14" i="6" s="1"/>
  <c r="G17" i="6"/>
  <c r="I17" i="6" s="1"/>
  <c r="H18" i="6"/>
  <c r="J18" i="6" s="1"/>
  <c r="G21" i="6"/>
  <c r="H22" i="6"/>
  <c r="J22" i="6" s="1"/>
  <c r="G25" i="6"/>
  <c r="I25" i="6" s="1"/>
  <c r="H26" i="6"/>
  <c r="J26" i="6" s="1"/>
  <c r="G29" i="6"/>
  <c r="K29" i="6" s="1"/>
  <c r="G12" i="6"/>
  <c r="I12" i="6" s="1"/>
  <c r="H13" i="6"/>
  <c r="J13" i="6" s="1"/>
  <c r="G16" i="6"/>
  <c r="I16" i="6" s="1"/>
  <c r="H17" i="6"/>
  <c r="J17" i="6" s="1"/>
  <c r="I18" i="6"/>
  <c r="G20" i="6"/>
  <c r="K20" i="6" s="1"/>
  <c r="H21" i="6"/>
  <c r="J21" i="6" s="1"/>
  <c r="G24" i="6"/>
  <c r="H25" i="6"/>
  <c r="J25" i="6" s="1"/>
  <c r="G28" i="6"/>
  <c r="K28" i="6" s="1"/>
  <c r="H29" i="6"/>
  <c r="J29" i="6" s="1"/>
  <c r="I3" i="6"/>
  <c r="G3" i="6"/>
  <c r="K3" i="6"/>
  <c r="G11" i="6"/>
  <c r="H12" i="6"/>
  <c r="J12" i="6" s="1"/>
  <c r="G15" i="6"/>
  <c r="H16" i="6"/>
  <c r="J16" i="6" s="1"/>
  <c r="G19" i="6"/>
  <c r="K19" i="6" s="1"/>
  <c r="I21" i="6"/>
  <c r="G23" i="6"/>
  <c r="H24" i="6"/>
  <c r="J24" i="6" s="1"/>
  <c r="G4" i="6"/>
  <c r="K4" i="6" s="1"/>
  <c r="G5" i="6"/>
  <c r="K5" i="6" s="1"/>
  <c r="G6" i="6"/>
  <c r="K6" i="6" s="1"/>
  <c r="G7" i="6"/>
  <c r="K7" i="6" s="1"/>
  <c r="G8" i="6"/>
  <c r="I8" i="6" s="1"/>
  <c r="G9" i="6"/>
  <c r="K9" i="6" s="1"/>
  <c r="G10" i="6"/>
  <c r="I10" i="6" s="1"/>
  <c r="H11" i="6"/>
  <c r="J11" i="6" s="1"/>
  <c r="G14" i="6"/>
  <c r="K14" i="6" s="1"/>
  <c r="H15" i="6"/>
  <c r="J15" i="6" s="1"/>
  <c r="G22" i="6"/>
  <c r="I22" i="6" s="1"/>
  <c r="H23" i="6"/>
  <c r="J23" i="6" s="1"/>
  <c r="N1" i="5"/>
  <c r="N9" i="5"/>
  <c r="M8" i="5"/>
  <c r="M7" i="5"/>
  <c r="M6" i="5"/>
  <c r="K7" i="5"/>
  <c r="I13" i="5"/>
  <c r="K15" i="5"/>
  <c r="I21" i="5"/>
  <c r="I20" i="5"/>
  <c r="H13" i="5"/>
  <c r="J13" i="5" s="1"/>
  <c r="H17" i="5"/>
  <c r="J17" i="5" s="1"/>
  <c r="G20" i="5"/>
  <c r="H4" i="5"/>
  <c r="J4" i="5" s="1"/>
  <c r="H5" i="5"/>
  <c r="J5" i="5" s="1"/>
  <c r="H6" i="5"/>
  <c r="J6" i="5" s="1"/>
  <c r="H7" i="5"/>
  <c r="J7" i="5" s="1"/>
  <c r="H8" i="5"/>
  <c r="J8" i="5" s="1"/>
  <c r="H9" i="5"/>
  <c r="J9" i="5" s="1"/>
  <c r="H10" i="5"/>
  <c r="J10" i="5" s="1"/>
  <c r="G13" i="5"/>
  <c r="K13" i="5"/>
  <c r="H14" i="5"/>
  <c r="J14" i="5" s="1"/>
  <c r="G17" i="5"/>
  <c r="I17" i="5" s="1"/>
  <c r="H18" i="5"/>
  <c r="J18" i="5" s="1"/>
  <c r="I19" i="5"/>
  <c r="G21" i="5"/>
  <c r="H22" i="5"/>
  <c r="J22" i="5" s="1"/>
  <c r="I5" i="5"/>
  <c r="G12" i="5"/>
  <c r="K12" i="5" s="1"/>
  <c r="H21" i="5"/>
  <c r="J21" i="5" s="1"/>
  <c r="I22" i="5"/>
  <c r="G3" i="5"/>
  <c r="I3" i="5" s="1"/>
  <c r="G11" i="5"/>
  <c r="H12" i="5"/>
  <c r="J12" i="5" s="1"/>
  <c r="G15" i="5"/>
  <c r="I15" i="5" s="1"/>
  <c r="H16" i="5"/>
  <c r="J16" i="5" s="1"/>
  <c r="G19" i="5"/>
  <c r="K19" i="5" s="1"/>
  <c r="H20" i="5"/>
  <c r="J20" i="5" s="1"/>
  <c r="G16" i="5"/>
  <c r="K16" i="5" s="1"/>
  <c r="H3" i="5"/>
  <c r="J3" i="5" s="1"/>
  <c r="G4" i="5"/>
  <c r="I4" i="5" s="1"/>
  <c r="G5" i="5"/>
  <c r="K5" i="5" s="1"/>
  <c r="G6" i="5"/>
  <c r="I6" i="5" s="1"/>
  <c r="G7" i="5"/>
  <c r="I7" i="5" s="1"/>
  <c r="G8" i="5"/>
  <c r="K8" i="5" s="1"/>
  <c r="G9" i="5"/>
  <c r="K9" i="5" s="1"/>
  <c r="G10" i="5"/>
  <c r="I10" i="5" s="1"/>
  <c r="H11" i="5"/>
  <c r="J11" i="5" s="1"/>
  <c r="G14" i="5"/>
  <c r="K14" i="5" s="1"/>
  <c r="H15" i="5"/>
  <c r="J15" i="5" s="1"/>
  <c r="G18" i="5"/>
  <c r="I18" i="5" s="1"/>
  <c r="N1" i="4"/>
  <c r="M6" i="4"/>
  <c r="N9" i="4"/>
  <c r="M8" i="4"/>
  <c r="M7" i="4"/>
  <c r="I21" i="4"/>
  <c r="K10" i="4"/>
  <c r="I3" i="4"/>
  <c r="H9" i="4"/>
  <c r="J9" i="4" s="1"/>
  <c r="H10" i="4"/>
  <c r="J10" i="4" s="1"/>
  <c r="G13" i="4"/>
  <c r="K13" i="4" s="1"/>
  <c r="H14" i="4"/>
  <c r="J14" i="4" s="1"/>
  <c r="G17" i="4"/>
  <c r="H18" i="4"/>
  <c r="J18" i="4" s="1"/>
  <c r="G21" i="4"/>
  <c r="H22" i="4"/>
  <c r="J22" i="4" s="1"/>
  <c r="I10" i="4"/>
  <c r="G12" i="4"/>
  <c r="I12" i="4" s="1"/>
  <c r="H13" i="4"/>
  <c r="J13" i="4" s="1"/>
  <c r="G16" i="4"/>
  <c r="K16" i="4" s="1"/>
  <c r="H17" i="4"/>
  <c r="J17" i="4" s="1"/>
  <c r="I18" i="4"/>
  <c r="G20" i="4"/>
  <c r="I20" i="4" s="1"/>
  <c r="H21" i="4"/>
  <c r="J21" i="4" s="1"/>
  <c r="I22" i="4"/>
  <c r="G3" i="4"/>
  <c r="K3" i="4" s="1"/>
  <c r="G11" i="4"/>
  <c r="K11" i="4" s="1"/>
  <c r="H12" i="4"/>
  <c r="J12" i="4" s="1"/>
  <c r="G15" i="4"/>
  <c r="K15" i="4" s="1"/>
  <c r="H16" i="4"/>
  <c r="J16" i="4" s="1"/>
  <c r="G19" i="4"/>
  <c r="I19" i="4" s="1"/>
  <c r="H20" i="4"/>
  <c r="J20" i="4" s="1"/>
  <c r="G5" i="4"/>
  <c r="K5" i="4" s="1"/>
  <c r="G6" i="4"/>
  <c r="K6" i="4" s="1"/>
  <c r="G7" i="4"/>
  <c r="K7" i="4" s="1"/>
  <c r="G8" i="4"/>
  <c r="K8" i="4" s="1"/>
  <c r="G9" i="4"/>
  <c r="K9" i="4" s="1"/>
  <c r="G10" i="4"/>
  <c r="H11" i="4"/>
  <c r="J11" i="4" s="1"/>
  <c r="G14" i="4"/>
  <c r="K14" i="4" s="1"/>
  <c r="H15" i="4"/>
  <c r="J15" i="4" s="1"/>
  <c r="G18" i="4"/>
  <c r="N9" i="3"/>
  <c r="M8" i="3"/>
  <c r="M7" i="3"/>
  <c r="M6" i="3"/>
  <c r="N1" i="3"/>
  <c r="K14" i="3"/>
  <c r="I22" i="3"/>
  <c r="H4" i="3"/>
  <c r="J4" i="3" s="1"/>
  <c r="H5" i="3"/>
  <c r="J5" i="3" s="1"/>
  <c r="H6" i="3"/>
  <c r="J6" i="3" s="1"/>
  <c r="H7" i="3"/>
  <c r="J7" i="3" s="1"/>
  <c r="H8" i="3"/>
  <c r="J8" i="3" s="1"/>
  <c r="H9" i="3"/>
  <c r="J9" i="3" s="1"/>
  <c r="H10" i="3"/>
  <c r="J10" i="3" s="1"/>
  <c r="G13" i="3"/>
  <c r="K13" i="3" s="1"/>
  <c r="H14" i="3"/>
  <c r="J14" i="3" s="1"/>
  <c r="G17" i="3"/>
  <c r="H18" i="3"/>
  <c r="J18" i="3" s="1"/>
  <c r="G21" i="3"/>
  <c r="K21" i="3" s="1"/>
  <c r="H22" i="3"/>
  <c r="J22" i="3" s="1"/>
  <c r="I10" i="3"/>
  <c r="H13" i="3"/>
  <c r="J13" i="3" s="1"/>
  <c r="G16" i="3"/>
  <c r="K16" i="3" s="1"/>
  <c r="H17" i="3"/>
  <c r="J17" i="3" s="1"/>
  <c r="I18" i="3"/>
  <c r="G20" i="3"/>
  <c r="G3" i="3"/>
  <c r="I3" i="3" s="1"/>
  <c r="G11" i="3"/>
  <c r="I11" i="3" s="1"/>
  <c r="H12" i="3"/>
  <c r="J12" i="3" s="1"/>
  <c r="G15" i="3"/>
  <c r="K15" i="3" s="1"/>
  <c r="H16" i="3"/>
  <c r="J16" i="3" s="1"/>
  <c r="G19" i="3"/>
  <c r="K19" i="3" s="1"/>
  <c r="H20" i="3"/>
  <c r="J20" i="3" s="1"/>
  <c r="I4" i="3"/>
  <c r="G12" i="3"/>
  <c r="K12" i="3" s="1"/>
  <c r="H3" i="3"/>
  <c r="J3" i="3" s="1"/>
  <c r="G4" i="3"/>
  <c r="K4" i="3" s="1"/>
  <c r="G5" i="3"/>
  <c r="K5" i="3" s="1"/>
  <c r="G6" i="3"/>
  <c r="I6" i="3" s="1"/>
  <c r="G7" i="3"/>
  <c r="K7" i="3" s="1"/>
  <c r="G8" i="3"/>
  <c r="K8" i="3" s="1"/>
  <c r="G9" i="3"/>
  <c r="I9" i="3" s="1"/>
  <c r="G10" i="3"/>
  <c r="H11" i="3"/>
  <c r="J11" i="3" s="1"/>
  <c r="G14" i="3"/>
  <c r="I14" i="3" s="1"/>
  <c r="H15" i="3"/>
  <c r="J15" i="3" s="1"/>
  <c r="G18" i="3"/>
  <c r="K18" i="3" s="1"/>
  <c r="N9" i="1"/>
  <c r="M8" i="1"/>
  <c r="M7" i="1"/>
  <c r="M6" i="1"/>
  <c r="N1" i="1"/>
  <c r="I17" i="1"/>
  <c r="K6" i="1"/>
  <c r="K22" i="1"/>
  <c r="H4" i="1"/>
  <c r="J4" i="1" s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G13" i="1"/>
  <c r="I13" i="1" s="1"/>
  <c r="K13" i="1"/>
  <c r="H14" i="1"/>
  <c r="J14" i="1" s="1"/>
  <c r="G17" i="1"/>
  <c r="H18" i="1"/>
  <c r="J18" i="1" s="1"/>
  <c r="G21" i="1"/>
  <c r="I21" i="1" s="1"/>
  <c r="H22" i="1"/>
  <c r="J22" i="1" s="1"/>
  <c r="I7" i="1"/>
  <c r="G12" i="1"/>
  <c r="I14" i="1"/>
  <c r="G16" i="1"/>
  <c r="K16" i="1" s="1"/>
  <c r="G20" i="1"/>
  <c r="I20" i="1" s="1"/>
  <c r="H21" i="1"/>
  <c r="J21" i="1" s="1"/>
  <c r="I22" i="1"/>
  <c r="G3" i="1"/>
  <c r="K3" i="1" s="1"/>
  <c r="G11" i="1"/>
  <c r="K11" i="1" s="1"/>
  <c r="H12" i="1"/>
  <c r="J12" i="1" s="1"/>
  <c r="G15" i="1"/>
  <c r="I15" i="1" s="1"/>
  <c r="H16" i="1"/>
  <c r="J16" i="1" s="1"/>
  <c r="G19" i="1"/>
  <c r="K19" i="1" s="1"/>
  <c r="H20" i="1"/>
  <c r="J20" i="1" s="1"/>
  <c r="H13" i="1"/>
  <c r="J13" i="1" s="1"/>
  <c r="H17" i="1"/>
  <c r="J17" i="1" s="1"/>
  <c r="H3" i="1"/>
  <c r="J3" i="1" s="1"/>
  <c r="G4" i="1"/>
  <c r="I4" i="1" s="1"/>
  <c r="G5" i="1"/>
  <c r="K5" i="1" s="1"/>
  <c r="G6" i="1"/>
  <c r="I6" i="1" s="1"/>
  <c r="G7" i="1"/>
  <c r="K7" i="1" s="1"/>
  <c r="G8" i="1"/>
  <c r="K8" i="1" s="1"/>
  <c r="G9" i="1"/>
  <c r="I9" i="1" s="1"/>
  <c r="G10" i="1"/>
  <c r="K10" i="1" s="1"/>
  <c r="H11" i="1"/>
  <c r="J11" i="1" s="1"/>
  <c r="G14" i="1"/>
  <c r="K14" i="1" s="1"/>
  <c r="H15" i="1"/>
  <c r="J15" i="1" s="1"/>
  <c r="G18" i="1"/>
  <c r="I18" i="1" s="1"/>
  <c r="J27" i="8" l="1"/>
  <c r="K27" i="8"/>
  <c r="K8" i="8"/>
  <c r="K25" i="8"/>
  <c r="K24" i="8"/>
  <c r="I24" i="8"/>
  <c r="K11" i="8"/>
  <c r="K12" i="8"/>
  <c r="K4" i="8"/>
  <c r="K16" i="8"/>
  <c r="K9" i="8"/>
  <c r="K18" i="8"/>
  <c r="K20" i="8"/>
  <c r="I4" i="8"/>
  <c r="K17" i="8"/>
  <c r="K10" i="8"/>
  <c r="I17" i="8"/>
  <c r="K14" i="8"/>
  <c r="K15" i="8"/>
  <c r="K3" i="8"/>
  <c r="I12" i="8"/>
  <c r="I19" i="8"/>
  <c r="I11" i="8"/>
  <c r="K22" i="8"/>
  <c r="I8" i="8"/>
  <c r="K21" i="8"/>
  <c r="K7" i="8"/>
  <c r="K5" i="8"/>
  <c r="K13" i="8"/>
  <c r="K6" i="8"/>
  <c r="I16" i="8"/>
  <c r="I22" i="7"/>
  <c r="K12" i="7"/>
  <c r="I7" i="7"/>
  <c r="I39" i="7"/>
  <c r="K29" i="7"/>
  <c r="K17" i="7"/>
  <c r="K32" i="7"/>
  <c r="K5" i="7"/>
  <c r="K38" i="7"/>
  <c r="K14" i="7"/>
  <c r="K35" i="7"/>
  <c r="K28" i="7"/>
  <c r="I9" i="7"/>
  <c r="I31" i="7"/>
  <c r="I26" i="7"/>
  <c r="K16" i="7"/>
  <c r="K10" i="7"/>
  <c r="K42" i="7"/>
  <c r="K34" i="7"/>
  <c r="I23" i="7"/>
  <c r="I15" i="7"/>
  <c r="K21" i="7"/>
  <c r="I33" i="7"/>
  <c r="K19" i="7"/>
  <c r="K36" i="7"/>
  <c r="I8" i="7"/>
  <c r="K25" i="7"/>
  <c r="K24" i="7"/>
  <c r="I40" i="7"/>
  <c r="I32" i="7"/>
  <c r="I24" i="7"/>
  <c r="I16" i="7"/>
  <c r="I37" i="7"/>
  <c r="I29" i="7"/>
  <c r="K21" i="6"/>
  <c r="K13" i="6"/>
  <c r="I14" i="6"/>
  <c r="I4" i="6"/>
  <c r="I9" i="6"/>
  <c r="K17" i="6"/>
  <c r="I29" i="6"/>
  <c r="I5" i="6"/>
  <c r="I13" i="6"/>
  <c r="K22" i="6"/>
  <c r="K11" i="6"/>
  <c r="K24" i="6"/>
  <c r="I19" i="6"/>
  <c r="I11" i="6"/>
  <c r="I28" i="6"/>
  <c r="K18" i="6"/>
  <c r="K10" i="6"/>
  <c r="K12" i="6"/>
  <c r="I7" i="6"/>
  <c r="K25" i="6"/>
  <c r="I20" i="6"/>
  <c r="K23" i="6"/>
  <c r="K15" i="6"/>
  <c r="K16" i="6"/>
  <c r="I23" i="6"/>
  <c r="I15" i="6"/>
  <c r="I24" i="6"/>
  <c r="I6" i="6"/>
  <c r="I12" i="5"/>
  <c r="K4" i="5"/>
  <c r="I14" i="5"/>
  <c r="K21" i="5"/>
  <c r="K20" i="5"/>
  <c r="I9" i="5"/>
  <c r="K22" i="5"/>
  <c r="K6" i="5"/>
  <c r="K18" i="5"/>
  <c r="K10" i="5"/>
  <c r="I8" i="5"/>
  <c r="K11" i="5"/>
  <c r="K3" i="5"/>
  <c r="K17" i="5"/>
  <c r="I16" i="5"/>
  <c r="I11" i="5"/>
  <c r="K18" i="4"/>
  <c r="I13" i="4"/>
  <c r="K17" i="4"/>
  <c r="I11" i="4"/>
  <c r="I6" i="4"/>
  <c r="I16" i="4"/>
  <c r="I7" i="4"/>
  <c r="K19" i="4"/>
  <c r="I14" i="4"/>
  <c r="K20" i="4"/>
  <c r="K12" i="4"/>
  <c r="K21" i="4"/>
  <c r="I15" i="4"/>
  <c r="K22" i="4"/>
  <c r="I8" i="4"/>
  <c r="I17" i="4"/>
  <c r="I9" i="4"/>
  <c r="I5" i="4"/>
  <c r="I7" i="3"/>
  <c r="I15" i="3"/>
  <c r="K6" i="3"/>
  <c r="I13" i="3"/>
  <c r="K20" i="3"/>
  <c r="I19" i="3"/>
  <c r="I20" i="3"/>
  <c r="I12" i="3"/>
  <c r="K9" i="3"/>
  <c r="K11" i="3"/>
  <c r="I5" i="3"/>
  <c r="K10" i="3"/>
  <c r="I21" i="3"/>
  <c r="K3" i="3"/>
  <c r="I8" i="3"/>
  <c r="K17" i="3"/>
  <c r="I16" i="3"/>
  <c r="I17" i="3"/>
  <c r="K22" i="3"/>
  <c r="K12" i="1"/>
  <c r="K17" i="1"/>
  <c r="I3" i="1"/>
  <c r="I12" i="1"/>
  <c r="K4" i="1"/>
  <c r="K9" i="1"/>
  <c r="I10" i="1"/>
  <c r="K20" i="1"/>
  <c r="K21" i="1"/>
  <c r="I5" i="1"/>
  <c r="K18" i="1"/>
  <c r="K15" i="1"/>
  <c r="I8" i="1"/>
  <c r="I16" i="1"/>
  <c r="I19" i="1"/>
  <c r="I11" i="1"/>
</calcChain>
</file>

<file path=xl/sharedStrings.xml><?xml version="1.0" encoding="utf-8"?>
<sst xmlns="http://schemas.openxmlformats.org/spreadsheetml/2006/main" count="346" uniqueCount="33">
  <si>
    <t>(Yards)</t>
  </si>
  <si>
    <t>(Inches)</t>
  </si>
  <si>
    <t>MOA</t>
  </si>
  <si>
    <t>Accuracy Class</t>
  </si>
  <si>
    <t>Group</t>
  </si>
  <si>
    <t>Sum Radius^2</t>
  </si>
  <si>
    <t>Count of Group</t>
  </si>
  <si>
    <t>StdDev X</t>
  </si>
  <si>
    <t>StdDev Y</t>
  </si>
  <si>
    <t>2n+1-2g</t>
  </si>
  <si>
    <t>cG</t>
  </si>
  <si>
    <t>Est. Sigma</t>
  </si>
  <si>
    <t>Confidence:</t>
  </si>
  <si>
    <t>Distance</t>
  </si>
  <si>
    <t>Point X</t>
  </si>
  <si>
    <t>Point Y</t>
  </si>
  <si>
    <t>Center X</t>
  </si>
  <si>
    <t>Center Y</t>
  </si>
  <si>
    <t>Chart X</t>
  </si>
  <si>
    <t>Chart Y</t>
  </si>
  <si>
    <t>Radius^2</t>
  </si>
  <si>
    <t>Estimated Sigma</t>
  </si>
  <si>
    <t>90% confidence value</t>
  </si>
  <si>
    <t>Grand Total</t>
  </si>
  <si>
    <t>Shots expected within</t>
  </si>
  <si>
    <t>CEP (50%)</t>
  </si>
  <si>
    <t>Yards</t>
  </si>
  <si>
    <t>X MOA</t>
  </si>
  <si>
    <t>Y MOA</t>
  </si>
  <si>
    <t>Shot#</t>
  </si>
  <si>
    <t>FPS</t>
  </si>
  <si>
    <t>Mean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</si>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</sst>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8"/>
      <color rgb="FFFA7D00"/>
      <name val="Arial"/>
      <family val="2"/>
    </font>
    <font>
      <b/>
      <sz val="8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3F3F3F"/>
      <name val="Arial"/>
      <family val="2"/>
    </font>
    <font>
      <i/>
      <sz val="10"/>
      <color theme="1"/>
      <name val="Arial"/>
      <family val="2"/>
    </font>
    <font>
      <b/>
      <sz val="10"/>
      <color rgb="FF3F3F7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7" fillId="4" borderId="0" applyNumberFormat="0" applyBorder="0" applyAlignment="0" applyProtection="0"/>
  </cellStyleXfs>
  <cellXfs count="64">
    <xf numFmtId="0" fontId="0" fillId="0" borderId="0" xfId="0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4" borderId="5" xfId="6" applyNumberFormat="1" applyFont="1" applyBorder="1" applyAlignment="1">
      <alignment horizontal="right"/>
    </xf>
    <xf numFmtId="0" fontId="5" fillId="4" borderId="5" xfId="6" applyNumberFormat="1" applyFont="1" applyBorder="1" applyAlignment="1">
      <alignment horizontal="center"/>
    </xf>
    <xf numFmtId="2" fontId="8" fillId="0" borderId="6" xfId="0" applyNumberFormat="1" applyFont="1" applyBorder="1"/>
    <xf numFmtId="0" fontId="8" fillId="0" borderId="6" xfId="0" applyFont="1" applyBorder="1"/>
    <xf numFmtId="0" fontId="9" fillId="0" borderId="6" xfId="0" applyFont="1" applyBorder="1" applyAlignment="1">
      <alignment horizontal="center"/>
    </xf>
    <xf numFmtId="0" fontId="10" fillId="3" borderId="7" xfId="5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9" fontId="2" fillId="2" borderId="7" xfId="2" applyFont="1" applyFill="1" applyBorder="1"/>
    <xf numFmtId="0" fontId="6" fillId="5" borderId="8" xfId="0" applyFont="1" applyFill="1" applyBorder="1"/>
    <xf numFmtId="0" fontId="6" fillId="5" borderId="9" xfId="0" applyFont="1" applyFill="1" applyBorder="1"/>
    <xf numFmtId="0" fontId="6" fillId="0" borderId="10" xfId="0" applyFont="1" applyBorder="1"/>
    <xf numFmtId="0" fontId="6" fillId="0" borderId="11" xfId="0" applyFont="1" applyBorder="1"/>
    <xf numFmtId="0" fontId="6" fillId="0" borderId="0" xfId="0" applyFont="1" applyBorder="1"/>
    <xf numFmtId="0" fontId="3" fillId="3" borderId="2" xfId="4" applyAlignment="1">
      <alignment horizontal="right"/>
    </xf>
    <xf numFmtId="43" fontId="3" fillId="3" borderId="2" xfId="4" applyNumberFormat="1"/>
    <xf numFmtId="2" fontId="12" fillId="0" borderId="0" xfId="0" applyNumberFormat="1" applyFont="1"/>
    <xf numFmtId="0" fontId="12" fillId="0" borderId="0" xfId="0" applyNumberFormat="1" applyFont="1"/>
    <xf numFmtId="2" fontId="3" fillId="3" borderId="2" xfId="0" applyNumberFormat="1" applyFont="1" applyFill="1" applyBorder="1"/>
    <xf numFmtId="0" fontId="12" fillId="0" borderId="0" xfId="0" applyFont="1"/>
    <xf numFmtId="43" fontId="4" fillId="3" borderId="12" xfId="5" applyNumberFormat="1" applyBorder="1"/>
    <xf numFmtId="43" fontId="0" fillId="0" borderId="0" xfId="0" applyNumberFormat="1"/>
    <xf numFmtId="0" fontId="0" fillId="5" borderId="0" xfId="0" applyFill="1"/>
    <xf numFmtId="0" fontId="0" fillId="5" borderId="3" xfId="0" applyFill="1" applyBorder="1"/>
    <xf numFmtId="0" fontId="0" fillId="0" borderId="4" xfId="0" applyBorder="1"/>
    <xf numFmtId="0" fontId="0" fillId="0" borderId="13" xfId="0" applyBorder="1"/>
    <xf numFmtId="0" fontId="0" fillId="0" borderId="0" xfId="0" applyBorder="1"/>
    <xf numFmtId="0" fontId="13" fillId="3" borderId="2" xfId="4" applyFont="1" applyAlignment="1">
      <alignment horizontal="right"/>
    </xf>
    <xf numFmtId="43" fontId="13" fillId="3" borderId="2" xfId="4" applyNumberFormat="1" applyFont="1"/>
    <xf numFmtId="0" fontId="0" fillId="0" borderId="5" xfId="0" applyBorder="1"/>
    <xf numFmtId="2" fontId="12" fillId="0" borderId="5" xfId="0" applyNumberFormat="1" applyFont="1" applyBorder="1"/>
    <xf numFmtId="0" fontId="12" fillId="0" borderId="5" xfId="0" applyNumberFormat="1" applyFont="1" applyBorder="1"/>
    <xf numFmtId="0" fontId="14" fillId="0" borderId="0" xfId="0" applyFont="1"/>
    <xf numFmtId="0" fontId="15" fillId="2" borderId="1" xfId="3" applyFont="1" applyAlignment="1">
      <alignment horizontal="right"/>
    </xf>
    <xf numFmtId="0" fontId="12" fillId="0" borderId="5" xfId="0" applyFont="1" applyBorder="1"/>
    <xf numFmtId="43" fontId="4" fillId="3" borderId="14" xfId="5" applyNumberFormat="1" applyBorder="1"/>
    <xf numFmtId="43" fontId="0" fillId="0" borderId="5" xfId="0" applyNumberFormat="1" applyBorder="1"/>
    <xf numFmtId="43" fontId="6" fillId="0" borderId="5" xfId="0" applyNumberFormat="1" applyFont="1" applyBorder="1"/>
    <xf numFmtId="9" fontId="4" fillId="3" borderId="1" xfId="5" applyNumberFormat="1"/>
    <xf numFmtId="2" fontId="2" fillId="2" borderId="1" xfId="3" applyNumberFormat="1"/>
    <xf numFmtId="164" fontId="0" fillId="0" borderId="0" xfId="0" applyNumberFormat="1"/>
    <xf numFmtId="43" fontId="0" fillId="0" borderId="0" xfId="0" applyNumberFormat="1" applyFill="1" applyBorder="1"/>
    <xf numFmtId="0" fontId="12" fillId="0" borderId="0" xfId="0" quotePrefix="1" applyFont="1"/>
    <xf numFmtId="43" fontId="0" fillId="0" borderId="0" xfId="0" quotePrefix="1" applyNumberFormat="1" applyFill="1" applyBorder="1"/>
    <xf numFmtId="164" fontId="0" fillId="0" borderId="0" xfId="1" applyNumberFormat="1" applyFont="1"/>
    <xf numFmtId="43" fontId="13" fillId="3" borderId="2" xfId="4" applyNumberFormat="1" applyFont="1" applyAlignment="1">
      <alignment horizontal="right"/>
    </xf>
    <xf numFmtId="0" fontId="0" fillId="5" borderId="8" xfId="0" applyFill="1" applyBorder="1"/>
    <xf numFmtId="0" fontId="0" fillId="0" borderId="10" xfId="0" applyBorder="1"/>
    <xf numFmtId="0" fontId="0" fillId="0" borderId="3" xfId="0" applyBorder="1"/>
    <xf numFmtId="0" fontId="0" fillId="0" borderId="6" xfId="0" pivotButton="1" applyBorder="1"/>
    <xf numFmtId="0" fontId="6" fillId="0" borderId="0" xfId="0" applyFont="1"/>
    <xf numFmtId="164" fontId="6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center"/>
    </xf>
    <xf numFmtId="164" fontId="0" fillId="0" borderId="15" xfId="0" applyNumberFormat="1" applyBorder="1" applyAlignment="1">
      <alignment horizontal="right"/>
    </xf>
    <xf numFmtId="1" fontId="0" fillId="0" borderId="15" xfId="0" applyNumberFormat="1" applyBorder="1"/>
    <xf numFmtId="165" fontId="0" fillId="0" borderId="15" xfId="0" applyNumberFormat="1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7">
    <cellStyle name="Accent1" xfId="6" builtinId="29"/>
    <cellStyle name="Calculation" xfId="5" builtinId="22"/>
    <cellStyle name="Comma" xfId="1" builtinId="3"/>
    <cellStyle name="Input" xfId="3" builtinId="20"/>
    <cellStyle name="Normal" xfId="0" builtinId="0"/>
    <cellStyle name="Output" xfId="4" builtinId="21"/>
    <cellStyle name="Percent" xfId="2" builtinId="5"/>
  </cellStyles>
  <dxfs count="11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F3F3F"/>
        <name val="Arial"/>
        <scheme val="none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2" formatCode="0.00"/>
    </dxf>
    <dxf>
      <font>
        <color theme="0" tint="-0.499984740745262"/>
      </font>
    </dxf>
    <dxf>
      <font>
        <color theme="0" tint="-0.499984740745262"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8"/>
      </font>
    </dxf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F3F3F"/>
        <name val="Arial"/>
        <scheme val="none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2" formatCode="0.00"/>
    </dxf>
    <dxf>
      <font>
        <color theme="0" tint="-0.499984740745262"/>
      </font>
    </dxf>
    <dxf>
      <font>
        <color theme="0" tint="-0.499984740745262"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8"/>
      </font>
    </dxf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F3F3F"/>
        <name val="Arial"/>
        <scheme val="none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2" formatCode="0.00"/>
    </dxf>
    <dxf>
      <font>
        <color theme="0" tint="-0.499984740745262"/>
      </font>
    </dxf>
    <dxf>
      <font>
        <color theme="0" tint="-0.499984740745262"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8"/>
      </font>
    </dxf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F3F3F"/>
        <name val="Arial"/>
        <scheme val="none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2" formatCode="0.00"/>
    </dxf>
    <dxf>
      <font>
        <color theme="0" tint="-0.499984740745262"/>
      </font>
    </dxf>
    <dxf>
      <font>
        <color theme="0" tint="-0.499984740745262"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8"/>
      </font>
    </dxf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F3F3F"/>
        <name val="Arial"/>
        <scheme val="none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2" formatCode="0.00"/>
    </dxf>
    <dxf>
      <font>
        <color theme="0" tint="-0.499984740745262"/>
      </font>
    </dxf>
    <dxf>
      <font>
        <color theme="0" tint="-0.499984740745262"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8"/>
      </font>
    </dxf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F3F3F"/>
        <name val="Arial"/>
        <scheme val="none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2" formatCode="0.00"/>
    </dxf>
    <dxf>
      <font>
        <color theme="0" tint="-0.499984740745262"/>
      </font>
    </dxf>
    <dxf>
      <font>
        <color theme="0" tint="-0.499984740745262"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8"/>
      </font>
    </dxf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F3F3F"/>
        <name val="Arial"/>
        <scheme val="none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2" formatCode="0.00"/>
    </dxf>
    <dxf>
      <font>
        <color theme="0" tint="-0.499984740745262"/>
      </font>
    </dxf>
    <dxf>
      <font>
        <color theme="0" tint="-0.499984740745262"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8"/>
      </font>
    </dxf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F3F3F"/>
        <name val="Arial"/>
        <scheme val="none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2" formatCode="0.00"/>
    </dxf>
    <dxf>
      <font>
        <color theme="0" tint="-0.499984740745262"/>
      </font>
    </dxf>
    <dxf>
      <font>
        <color theme="0" tint="-0.499984740745262"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8"/>
      </font>
    </dxf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F3F3F"/>
        <name val="Arial"/>
        <scheme val="none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2" formatCode="0.00"/>
    </dxf>
    <dxf>
      <font>
        <color theme="0" tint="-0.499984740745262"/>
      </font>
    </dxf>
    <dxf>
      <font>
        <color theme="0" tint="-0.499984740745262"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8"/>
      </font>
    </dxf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F3F3F"/>
        <name val="Arial"/>
        <scheme val="none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2" formatCode="0.00"/>
    </dxf>
    <dxf>
      <font>
        <color theme="0" tint="-0.499984740745262"/>
      </font>
    </dxf>
    <dxf>
      <font>
        <color theme="0" tint="-0.499984740745262"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8"/>
      </font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pivotCacheDefinition" Target="pivotCache/pivotCacheDefinition7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0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pivotCacheDefinition" Target="pivotCache/pivotCacheDefinition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5.xml"/><Relationship Id="rId20" Type="http://schemas.openxmlformats.org/officeDocument/2006/relationships/pivotCacheDefinition" Target="pivotCache/pivotCacheDefinition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Aggregated Shots in MOA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Gemtech25yd!$J$2</c:f>
              <c:strCache>
                <c:ptCount val="1"/>
                <c:pt idx="0">
                  <c:v>Chart 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70C0">
                  <a:alpha val="50000"/>
                </a:srgbClr>
              </a:solidFill>
              <a:ln>
                <a:noFill/>
              </a:ln>
            </c:spPr>
          </c:marker>
          <c:xVal>
            <c:numRef>
              <c:f>Gemtech25yd!$I$3:$I$32</c:f>
              <c:numCache>
                <c:formatCode>General</c:formatCode>
                <c:ptCount val="30"/>
                <c:pt idx="0">
                  <c:v>-3.9642676554862639</c:v>
                </c:pt>
                <c:pt idx="1">
                  <c:v>-3.4485083431653472</c:v>
                </c:pt>
                <c:pt idx="2">
                  <c:v>-2.4399123546266672</c:v>
                </c:pt>
                <c:pt idx="3">
                  <c:v>3.7759424686780143</c:v>
                </c:pt>
                <c:pt idx="4">
                  <c:v>3.2601831563570975</c:v>
                </c:pt>
                <c:pt idx="5">
                  <c:v>-0.14764874431147845</c:v>
                </c:pt>
                <c:pt idx="6">
                  <c:v>-0.63284454182819516</c:v>
                </c:pt>
                <c:pt idx="7">
                  <c:v>-1.2288330805101424</c:v>
                </c:pt>
                <c:pt idx="8">
                  <c:v>-0.71307376818922563</c:v>
                </c:pt>
                <c:pt idx="9">
                  <c:v>0.68138659475251373</c:v>
                </c:pt>
                <c:pt idx="10">
                  <c:v>2.0720265183437263</c:v>
                </c:pt>
                <c:pt idx="11">
                  <c:v>1.1933254677229073</c:v>
                </c:pt>
                <c:pt idx="12">
                  <c:v>1.2200685431765841</c:v>
                </c:pt>
                <c:pt idx="13">
                  <c:v>0.55149165683465284</c:v>
                </c:pt>
                <c:pt idx="14">
                  <c:v>0.16562728243159697</c:v>
                </c:pt>
                <c:pt idx="15">
                  <c:v>-0.30046631833248938</c:v>
                </c:pt>
                <c:pt idx="16">
                  <c:v>-4.4496881847297942E-2</c:v>
                </c:pt>
                <c:pt idx="17">
                  <c:v>-1.5992359121298936</c:v>
                </c:pt>
                <c:pt idx="18">
                  <c:v>-1.3661891117478504</c:v>
                </c:pt>
                <c:pt idx="19">
                  <c:v>3.2091690544412188E-2</c:v>
                </c:pt>
                <c:pt idx="20">
                  <c:v>0.34154727793696082</c:v>
                </c:pt>
                <c:pt idx="21">
                  <c:v>1.4036294173830015</c:v>
                </c:pt>
                <c:pt idx="22">
                  <c:v>0.44469914040114489</c:v>
                </c:pt>
                <c:pt idx="23">
                  <c:v>-0.17803247373447917</c:v>
                </c:pt>
                <c:pt idx="24">
                  <c:v>0.13524355300859625</c:v>
                </c:pt>
                <c:pt idx="25">
                  <c:v>0.47144221585482171</c:v>
                </c:pt>
                <c:pt idx="26">
                  <c:v>0.31480420248328755</c:v>
                </c:pt>
              </c:numCache>
            </c:numRef>
          </c:xVal>
          <c:yVal>
            <c:numRef>
              <c:f>Gemtech25yd!$J$3:$J$32</c:f>
              <c:numCache>
                <c:formatCode>General</c:formatCode>
                <c:ptCount val="30"/>
                <c:pt idx="0">
                  <c:v>0.88813978313388375</c:v>
                </c:pt>
                <c:pt idx="1">
                  <c:v>1.5070509579189846</c:v>
                </c:pt>
                <c:pt idx="2">
                  <c:v>-1.3812011910781514</c:v>
                </c:pt>
                <c:pt idx="3">
                  <c:v>-0.70880386538569518</c:v>
                </c:pt>
                <c:pt idx="4">
                  <c:v>-1.4346873419855051</c:v>
                </c:pt>
                <c:pt idx="5">
                  <c:v>-1.8969605033990664</c:v>
                </c:pt>
                <c:pt idx="6">
                  <c:v>-1.5340187650991641</c:v>
                </c:pt>
                <c:pt idx="7">
                  <c:v>-6.3149615146917526E-2</c:v>
                </c:pt>
                <c:pt idx="8">
                  <c:v>-1.0220798921287706</c:v>
                </c:pt>
                <c:pt idx="9">
                  <c:v>-0.76229001629304882</c:v>
                </c:pt>
                <c:pt idx="10">
                  <c:v>0.34945783470981517</c:v>
                </c:pt>
                <c:pt idx="11">
                  <c:v>0.27304904769930971</c:v>
                </c:pt>
                <c:pt idx="12">
                  <c:v>1.1211865835159287</c:v>
                </c:pt>
                <c:pt idx="13">
                  <c:v>1.1708522950727573</c:v>
                </c:pt>
                <c:pt idx="14">
                  <c:v>1.82032698466206</c:v>
                </c:pt>
                <c:pt idx="15">
                  <c:v>1.1479296589696055</c:v>
                </c:pt>
                <c:pt idx="16">
                  <c:v>0.52519804483397969</c:v>
                </c:pt>
                <c:pt idx="17">
                  <c:v>0.78701050620821533</c:v>
                </c:pt>
                <c:pt idx="18">
                  <c:v>-0.87106017191976903</c:v>
                </c:pt>
                <c:pt idx="19">
                  <c:v>-1.1537726838586408</c:v>
                </c:pt>
                <c:pt idx="20">
                  <c:v>-1.6466093600764076</c:v>
                </c:pt>
                <c:pt idx="21">
                  <c:v>-0.53486150907354002</c:v>
                </c:pt>
                <c:pt idx="22">
                  <c:v>3.438395415473039E-2</c:v>
                </c:pt>
                <c:pt idx="23">
                  <c:v>1.3562559694364893</c:v>
                </c:pt>
                <c:pt idx="24">
                  <c:v>1.4364851957975198</c:v>
                </c:pt>
                <c:pt idx="25">
                  <c:v>6.1127029608407213E-2</c:v>
                </c:pt>
                <c:pt idx="26">
                  <c:v>0.53104106972302034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60480"/>
        <c:axId val="43580800"/>
      </c:scatterChart>
      <c:valAx>
        <c:axId val="43460480"/>
        <c:scaling>
          <c:orientation val="minMax"/>
          <c:max val="4"/>
          <c:min val="-4"/>
        </c:scaling>
        <c:delete val="0"/>
        <c:axPos val="b"/>
        <c:numFmt formatCode="General" sourceLinked="1"/>
        <c:majorTickMark val="out"/>
        <c:minorTickMark val="none"/>
        <c:tickLblPos val="nextTo"/>
        <c:crossAx val="43580800"/>
        <c:crosses val="autoZero"/>
        <c:crossBetween val="midCat"/>
        <c:majorUnit val="2"/>
      </c:valAx>
      <c:valAx>
        <c:axId val="43580800"/>
        <c:scaling>
          <c:orientation val="minMax"/>
          <c:max val="4"/>
          <c:min val="-4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43460480"/>
        <c:crossesAt val="0"/>
        <c:crossBetween val="midCat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Aggregated Shots in MOA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EleyClubUnsup!$J$2</c:f>
              <c:strCache>
                <c:ptCount val="1"/>
                <c:pt idx="0">
                  <c:v>Chart 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70C0">
                  <a:alpha val="50000"/>
                </a:srgbClr>
              </a:solidFill>
              <a:ln>
                <a:noFill/>
              </a:ln>
            </c:spPr>
          </c:marker>
          <c:xVal>
            <c:numRef>
              <c:f>EleyClubUnsup!$I$3:$I$32</c:f>
              <c:numCache>
                <c:formatCode>General</c:formatCode>
                <c:ptCount val="30"/>
                <c:pt idx="0">
                  <c:v>0.2813753581661893</c:v>
                </c:pt>
                <c:pt idx="1">
                  <c:v>0.18013371537726863</c:v>
                </c:pt>
                <c:pt idx="2">
                  <c:v>0.14765998089780297</c:v>
                </c:pt>
                <c:pt idx="3">
                  <c:v>1.2288443170964665</c:v>
                </c:pt>
                <c:pt idx="4">
                  <c:v>-0.83228271251193853</c:v>
                </c:pt>
                <c:pt idx="5">
                  <c:v>-0.11786055396370587</c:v>
                </c:pt>
                <c:pt idx="6">
                  <c:v>0.87927411652339993</c:v>
                </c:pt>
                <c:pt idx="7">
                  <c:v>-0.11786055396370587</c:v>
                </c:pt>
                <c:pt idx="8">
                  <c:v>-0.7329512893982808</c:v>
                </c:pt>
                <c:pt idx="9">
                  <c:v>-0.91633237822349534</c:v>
                </c:pt>
                <c:pt idx="10">
                  <c:v>0.48863419293218513</c:v>
                </c:pt>
                <c:pt idx="11">
                  <c:v>1.170582617000953</c:v>
                </c:pt>
                <c:pt idx="12">
                  <c:v>0.82101241642788736</c:v>
                </c:pt>
                <c:pt idx="13">
                  <c:v>-0.39388729703916248</c:v>
                </c:pt>
                <c:pt idx="14">
                  <c:v>-0.60783190066857884</c:v>
                </c:pt>
                <c:pt idx="15">
                  <c:v>-0.82368672397325859</c:v>
                </c:pt>
                <c:pt idx="16">
                  <c:v>-0.12645654250239069</c:v>
                </c:pt>
                <c:pt idx="17">
                  <c:v>0.38930276981852785</c:v>
                </c:pt>
                <c:pt idx="18">
                  <c:v>-0.45883476599809114</c:v>
                </c:pt>
                <c:pt idx="19">
                  <c:v>-0.45883476599809114</c:v>
                </c:pt>
              </c:numCache>
            </c:numRef>
          </c:xVal>
          <c:yVal>
            <c:numRef>
              <c:f>EleyClubUnsup!$J$3:$J$32</c:f>
              <c:numCache>
                <c:formatCode>General</c:formatCode>
                <c:ptCount val="30"/>
                <c:pt idx="0">
                  <c:v>2.5346704871060175</c:v>
                </c:pt>
                <c:pt idx="1">
                  <c:v>1.7533906399235919</c:v>
                </c:pt>
                <c:pt idx="2">
                  <c:v>1.1535816618911179</c:v>
                </c:pt>
                <c:pt idx="3">
                  <c:v>0.37421203438395434</c:v>
                </c:pt>
                <c:pt idx="4">
                  <c:v>9.1499522445081638E-2</c:v>
                </c:pt>
                <c:pt idx="5">
                  <c:v>-0.67258834765998099</c:v>
                </c:pt>
                <c:pt idx="6">
                  <c:v>-1.1386819484240691</c:v>
                </c:pt>
                <c:pt idx="7">
                  <c:v>-1.5035339063992357</c:v>
                </c:pt>
                <c:pt idx="8">
                  <c:v>-0.98968481375358142</c:v>
                </c:pt>
                <c:pt idx="9">
                  <c:v>-1.6028653295128938</c:v>
                </c:pt>
                <c:pt idx="10">
                  <c:v>1.2699140401146121</c:v>
                </c:pt>
                <c:pt idx="11">
                  <c:v>1.0063037249283662</c:v>
                </c:pt>
                <c:pt idx="12">
                  <c:v>0.38930276981852785</c:v>
                </c:pt>
                <c:pt idx="13">
                  <c:v>0.40649474689589304</c:v>
                </c:pt>
                <c:pt idx="14">
                  <c:v>0.17535816618911149</c:v>
                </c:pt>
                <c:pt idx="15">
                  <c:v>0.24030563514804015</c:v>
                </c:pt>
                <c:pt idx="16">
                  <c:v>-0.14173829990448894</c:v>
                </c:pt>
                <c:pt idx="17">
                  <c:v>-0.65558739255014409</c:v>
                </c:pt>
                <c:pt idx="18">
                  <c:v>-1.2210124164278895</c:v>
                </c:pt>
                <c:pt idx="19">
                  <c:v>-1.4693409742120345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600768"/>
        <c:axId val="411947008"/>
      </c:scatterChart>
      <c:valAx>
        <c:axId val="411600768"/>
        <c:scaling>
          <c:orientation val="minMax"/>
          <c:max val="3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crossAx val="411947008"/>
        <c:crosses val="autoZero"/>
        <c:crossBetween val="midCat"/>
        <c:majorUnit val="1"/>
      </c:valAx>
      <c:valAx>
        <c:axId val="411947008"/>
        <c:scaling>
          <c:orientation val="minMax"/>
          <c:max val="3"/>
          <c:min val="-3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411600768"/>
        <c:crossesAt val="0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Aggregated Shots in MOA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GemtechUnsup!$J$2</c:f>
              <c:strCache>
                <c:ptCount val="1"/>
                <c:pt idx="0">
                  <c:v>Chart 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70C0">
                  <a:alpha val="50000"/>
                </a:srgbClr>
              </a:solidFill>
              <a:ln>
                <a:noFill/>
              </a:ln>
            </c:spPr>
          </c:marker>
          <c:xVal>
            <c:numRef>
              <c:f>GemtechUnsup!$I$3:$I$32</c:f>
              <c:numCache>
                <c:formatCode>General</c:formatCode>
                <c:ptCount val="30"/>
                <c:pt idx="0">
                  <c:v>1.1234001910219682</c:v>
                </c:pt>
                <c:pt idx="1">
                  <c:v>0.79102196752626597</c:v>
                </c:pt>
                <c:pt idx="2">
                  <c:v>0.52550143266475668</c:v>
                </c:pt>
                <c:pt idx="3">
                  <c:v>-1.0752626552053481</c:v>
                </c:pt>
                <c:pt idx="4">
                  <c:v>-1.3904489016236865</c:v>
                </c:pt>
                <c:pt idx="5">
                  <c:v>-0.94154727793696269</c:v>
                </c:pt>
                <c:pt idx="6">
                  <c:v>0.20840496657115626</c:v>
                </c:pt>
                <c:pt idx="7">
                  <c:v>0.2580706781279849</c:v>
                </c:pt>
                <c:pt idx="8">
                  <c:v>0.15873925501432762</c:v>
                </c:pt>
                <c:pt idx="9">
                  <c:v>0.34212034383954126</c:v>
                </c:pt>
              </c:numCache>
            </c:numRef>
          </c:xVal>
          <c:yVal>
            <c:numRef>
              <c:f>GemtechUnsup!$J$3:$J$32</c:f>
              <c:numCache>
                <c:formatCode>General</c:formatCode>
                <c:ptCount val="30"/>
                <c:pt idx="0">
                  <c:v>1.6827125119388722</c:v>
                </c:pt>
                <c:pt idx="1">
                  <c:v>1.7514804202483276</c:v>
                </c:pt>
                <c:pt idx="2">
                  <c:v>1.5165234001910211</c:v>
                </c:pt>
                <c:pt idx="3">
                  <c:v>1.149761222540592</c:v>
                </c:pt>
                <c:pt idx="4">
                  <c:v>1.2185291308500474</c:v>
                </c:pt>
                <c:pt idx="5">
                  <c:v>-0.72989493791786231</c:v>
                </c:pt>
                <c:pt idx="6">
                  <c:v>-0.34785100286532966</c:v>
                </c:pt>
                <c:pt idx="7">
                  <c:v>-1.0641833810888262</c:v>
                </c:pt>
                <c:pt idx="8">
                  <c:v>-2.2809933142311376</c:v>
                </c:pt>
                <c:pt idx="9">
                  <c:v>-2.8960840496657134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612096"/>
        <c:axId val="412614016"/>
      </c:scatterChart>
      <c:valAx>
        <c:axId val="412612096"/>
        <c:scaling>
          <c:orientation val="minMax"/>
          <c:max val="3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crossAx val="412614016"/>
        <c:crosses val="autoZero"/>
        <c:crossBetween val="midCat"/>
        <c:majorUnit val="1"/>
      </c:valAx>
      <c:valAx>
        <c:axId val="412614016"/>
        <c:scaling>
          <c:orientation val="minMax"/>
          <c:max val="3"/>
          <c:min val="-3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412612096"/>
        <c:crossesAt val="0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Aggregated Shots in MOA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'SK+25yd'!$J$2</c:f>
              <c:strCache>
                <c:ptCount val="1"/>
                <c:pt idx="0">
                  <c:v>Chart 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70C0">
                  <a:alpha val="50000"/>
                </a:srgbClr>
              </a:solidFill>
              <a:ln>
                <a:noFill/>
              </a:ln>
            </c:spPr>
          </c:marker>
          <c:xVal>
            <c:numRef>
              <c:f>'SK+25yd'!$I$3:$I$32</c:f>
              <c:numCache>
                <c:formatCode>General</c:formatCode>
                <c:ptCount val="30"/>
                <c:pt idx="0">
                  <c:v>2.4660936007640863</c:v>
                </c:pt>
                <c:pt idx="1">
                  <c:v>-0.72397325692454828</c:v>
                </c:pt>
                <c:pt idx="2">
                  <c:v>-0.80038204393505197</c:v>
                </c:pt>
                <c:pt idx="3">
                  <c:v>-2.8978032473734476</c:v>
                </c:pt>
                <c:pt idx="4">
                  <c:v>0.80802292263610553</c:v>
                </c:pt>
                <c:pt idx="5">
                  <c:v>1.663801337153771</c:v>
                </c:pt>
                <c:pt idx="6">
                  <c:v>2.5157593123209168</c:v>
                </c:pt>
                <c:pt idx="7">
                  <c:v>0.62464183381088745</c:v>
                </c:pt>
                <c:pt idx="8">
                  <c:v>0.91117478510028604</c:v>
                </c:pt>
                <c:pt idx="9">
                  <c:v>0.59789875835721062</c:v>
                </c:pt>
                <c:pt idx="10">
                  <c:v>-1.2129894937917847</c:v>
                </c:pt>
                <c:pt idx="11">
                  <c:v>-0.28080229226361197</c:v>
                </c:pt>
                <c:pt idx="12">
                  <c:v>-0.90353390639923603</c:v>
                </c:pt>
                <c:pt idx="13">
                  <c:v>-0.48710601719197655</c:v>
                </c:pt>
                <c:pt idx="14">
                  <c:v>-0.28080229226361197</c:v>
                </c:pt>
                <c:pt idx="15">
                  <c:v>5.7306590257901746E-3</c:v>
                </c:pt>
                <c:pt idx="16">
                  <c:v>-0.22731614135625478</c:v>
                </c:pt>
                <c:pt idx="17">
                  <c:v>-0.80038204393505197</c:v>
                </c:pt>
                <c:pt idx="18">
                  <c:v>-0.22731614135625478</c:v>
                </c:pt>
                <c:pt idx="19">
                  <c:v>-0.7507163323782251</c:v>
                </c:pt>
              </c:numCache>
            </c:numRef>
          </c:xVal>
          <c:yVal>
            <c:numRef>
              <c:f>'SK+25yd'!$J$3:$J$32</c:f>
              <c:numCache>
                <c:formatCode>General</c:formatCode>
                <c:ptCount val="30"/>
                <c:pt idx="0">
                  <c:v>3.7489971346704856</c:v>
                </c:pt>
                <c:pt idx="1">
                  <c:v>2.7671442215854825</c:v>
                </c:pt>
                <c:pt idx="2">
                  <c:v>1.261891117478509</c:v>
                </c:pt>
                <c:pt idx="3">
                  <c:v>-0.80878701050620805</c:v>
                </c:pt>
                <c:pt idx="4">
                  <c:v>-3.1392550143266504</c:v>
                </c:pt>
                <c:pt idx="5">
                  <c:v>-2.2605539637058314</c:v>
                </c:pt>
                <c:pt idx="6">
                  <c:v>-0.26628462273161801</c:v>
                </c:pt>
                <c:pt idx="7">
                  <c:v>1.1319961795606481</c:v>
                </c:pt>
                <c:pt idx="8">
                  <c:v>-0.88519579751671884</c:v>
                </c:pt>
                <c:pt idx="9">
                  <c:v>-1.1717287488061174</c:v>
                </c:pt>
                <c:pt idx="10">
                  <c:v>-0.49933142311366296</c:v>
                </c:pt>
                <c:pt idx="11">
                  <c:v>-1.2748806112703015</c:v>
                </c:pt>
                <c:pt idx="12">
                  <c:v>-0.80878701050620805</c:v>
                </c:pt>
                <c:pt idx="13">
                  <c:v>-0.1096466093600803</c:v>
                </c:pt>
                <c:pt idx="14">
                  <c:v>0.69264565425023505</c:v>
                </c:pt>
                <c:pt idx="15">
                  <c:v>0.69264565425023505</c:v>
                </c:pt>
                <c:pt idx="16">
                  <c:v>4.3170964660934175E-2</c:v>
                </c:pt>
                <c:pt idx="17">
                  <c:v>1.0555873925501409</c:v>
                </c:pt>
                <c:pt idx="18">
                  <c:v>0.35644699140400959</c:v>
                </c:pt>
                <c:pt idx="19">
                  <c:v>-0.52607449856733624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32992"/>
        <c:axId val="52934912"/>
      </c:scatterChart>
      <c:valAx>
        <c:axId val="52932992"/>
        <c:scaling>
          <c:orientation val="minMax"/>
          <c:max val="4"/>
          <c:min val="-4"/>
        </c:scaling>
        <c:delete val="0"/>
        <c:axPos val="b"/>
        <c:numFmt formatCode="General" sourceLinked="1"/>
        <c:majorTickMark val="out"/>
        <c:minorTickMark val="none"/>
        <c:tickLblPos val="nextTo"/>
        <c:crossAx val="52934912"/>
        <c:crosses val="autoZero"/>
        <c:crossBetween val="midCat"/>
        <c:majorUnit val="2"/>
      </c:valAx>
      <c:valAx>
        <c:axId val="52934912"/>
        <c:scaling>
          <c:orientation val="minMax"/>
          <c:max val="4"/>
          <c:min val="-4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52932992"/>
        <c:crossesAt val="0"/>
        <c:crossBetween val="midCat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Aggregated Shots in MOA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'SK+50yd'!$J$2</c:f>
              <c:strCache>
                <c:ptCount val="1"/>
                <c:pt idx="0">
                  <c:v>Chart 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70C0">
                  <a:alpha val="50000"/>
                </a:srgbClr>
              </a:solidFill>
              <a:ln>
                <a:noFill/>
              </a:ln>
            </c:spPr>
          </c:marker>
          <c:xVal>
            <c:numRef>
              <c:f>'SK+50yd'!$I$3:$I$32</c:f>
              <c:numCache>
                <c:formatCode>General</c:formatCode>
                <c:ptCount val="30"/>
                <c:pt idx="0">
                  <c:v>3.3866284622731619</c:v>
                </c:pt>
                <c:pt idx="1">
                  <c:v>-1.2800382043935041</c:v>
                </c:pt>
                <c:pt idx="2">
                  <c:v>-0.64584527220630239</c:v>
                </c:pt>
                <c:pt idx="3">
                  <c:v>-0.46628462273161286</c:v>
                </c:pt>
                <c:pt idx="4">
                  <c:v>0.3226361031518632</c:v>
                </c:pt>
                <c:pt idx="5">
                  <c:v>-0.76236867239732486</c:v>
                </c:pt>
                <c:pt idx="6">
                  <c:v>-2.5331423113658058</c:v>
                </c:pt>
                <c:pt idx="7">
                  <c:v>-0.69742120343839442</c:v>
                </c:pt>
                <c:pt idx="8">
                  <c:v>-0.77574021012416328</c:v>
                </c:pt>
                <c:pt idx="9">
                  <c:v>-0.91709646609359918</c:v>
                </c:pt>
                <c:pt idx="10">
                  <c:v>-1.1367717287488057</c:v>
                </c:pt>
                <c:pt idx="11">
                  <c:v>-0.82731614135625531</c:v>
                </c:pt>
                <c:pt idx="12">
                  <c:v>1.990257879656161</c:v>
                </c:pt>
                <c:pt idx="13">
                  <c:v>1.6024832855778417</c:v>
                </c:pt>
                <c:pt idx="14">
                  <c:v>1.2414517669531993</c:v>
                </c:pt>
                <c:pt idx="15">
                  <c:v>1.7056351480420258</c:v>
                </c:pt>
                <c:pt idx="16">
                  <c:v>0.25768863419293275</c:v>
                </c:pt>
                <c:pt idx="17">
                  <c:v>-2.5023877745939949E-2</c:v>
                </c:pt>
                <c:pt idx="18">
                  <c:v>0.41432664756447046</c:v>
                </c:pt>
                <c:pt idx="19">
                  <c:v>-0.85405921680993213</c:v>
                </c:pt>
              </c:numCache>
            </c:numRef>
          </c:xVal>
          <c:yVal>
            <c:numRef>
              <c:f>'SK+50yd'!$J$3:$J$32</c:f>
              <c:numCache>
                <c:formatCode>General</c:formatCode>
                <c:ptCount val="30"/>
                <c:pt idx="0">
                  <c:v>3.1663801337153785</c:v>
                </c:pt>
                <c:pt idx="1">
                  <c:v>2.2494746895893032</c:v>
                </c:pt>
                <c:pt idx="2">
                  <c:v>1.9533906399235921</c:v>
                </c:pt>
                <c:pt idx="3">
                  <c:v>1.8234957020057312</c:v>
                </c:pt>
                <c:pt idx="4">
                  <c:v>1.590448901623688</c:v>
                </c:pt>
                <c:pt idx="5">
                  <c:v>0.9963705826170024</c:v>
                </c:pt>
                <c:pt idx="6">
                  <c:v>-0.73619866284622582</c:v>
                </c:pt>
                <c:pt idx="7">
                  <c:v>3.9350525310410944E-2</c:v>
                </c:pt>
                <c:pt idx="8">
                  <c:v>-0.16695319961795541</c:v>
                </c:pt>
                <c:pt idx="9">
                  <c:v>-0.37325692454632176</c:v>
                </c:pt>
                <c:pt idx="10">
                  <c:v>-0.73619866284622582</c:v>
                </c:pt>
                <c:pt idx="11">
                  <c:v>-1.0704871060171897</c:v>
                </c:pt>
                <c:pt idx="12">
                  <c:v>-0.42483285577841379</c:v>
                </c:pt>
                <c:pt idx="13">
                  <c:v>-0.47640878701050404</c:v>
                </c:pt>
                <c:pt idx="14">
                  <c:v>-1.0704871060171897</c:v>
                </c:pt>
                <c:pt idx="15">
                  <c:v>-1.5881566380133716</c:v>
                </c:pt>
                <c:pt idx="16">
                  <c:v>-1.0972301814708683</c:v>
                </c:pt>
                <c:pt idx="17">
                  <c:v>-1.549952244508118</c:v>
                </c:pt>
                <c:pt idx="18">
                  <c:v>-2.117287488061125</c:v>
                </c:pt>
                <c:pt idx="19">
                  <c:v>-0.41146131805157538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722368"/>
        <c:axId val="225724288"/>
      </c:scatterChart>
      <c:valAx>
        <c:axId val="225722368"/>
        <c:scaling>
          <c:orientation val="minMax"/>
          <c:max val="4"/>
          <c:min val="-4"/>
        </c:scaling>
        <c:delete val="0"/>
        <c:axPos val="b"/>
        <c:numFmt formatCode="General" sourceLinked="1"/>
        <c:majorTickMark val="out"/>
        <c:minorTickMark val="none"/>
        <c:tickLblPos val="nextTo"/>
        <c:crossAx val="225724288"/>
        <c:crosses val="autoZero"/>
        <c:crossBetween val="midCat"/>
        <c:majorUnit val="2"/>
      </c:valAx>
      <c:valAx>
        <c:axId val="225724288"/>
        <c:scaling>
          <c:orientation val="minMax"/>
          <c:max val="4"/>
          <c:min val="-4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225722368"/>
        <c:crossesAt val="0"/>
        <c:crossBetween val="midCat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Aggregated Shots in MOA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Eley25yd!$J$2</c:f>
              <c:strCache>
                <c:ptCount val="1"/>
                <c:pt idx="0">
                  <c:v>Chart 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70C0">
                  <a:alpha val="50000"/>
                </a:srgbClr>
              </a:solidFill>
              <a:ln>
                <a:noFill/>
              </a:ln>
            </c:spPr>
          </c:marker>
          <c:xVal>
            <c:numRef>
              <c:f>Eley25yd!$I$3:$I$32</c:f>
              <c:numCache>
                <c:formatCode>General</c:formatCode>
                <c:ptCount val="30"/>
                <c:pt idx="0">
                  <c:v>-0.38815663801337053</c:v>
                </c:pt>
                <c:pt idx="1">
                  <c:v>0.69684813753581665</c:v>
                </c:pt>
                <c:pt idx="2">
                  <c:v>1.9690544412607451</c:v>
                </c:pt>
                <c:pt idx="3">
                  <c:v>2.5382999044890191</c:v>
                </c:pt>
                <c:pt idx="4">
                  <c:v>2.6681948424068764</c:v>
                </c:pt>
                <c:pt idx="5">
                  <c:v>-7.8701050620820112E-2</c:v>
                </c:pt>
                <c:pt idx="6">
                  <c:v>-0.80458452722063001</c:v>
                </c:pt>
                <c:pt idx="7">
                  <c:v>-1.2706781279847181</c:v>
                </c:pt>
                <c:pt idx="8">
                  <c:v>-1.5801337153772685</c:v>
                </c:pt>
                <c:pt idx="9">
                  <c:v>-2.0997134670487103</c:v>
                </c:pt>
                <c:pt idx="10">
                  <c:v>-2.3862464183381089</c:v>
                </c:pt>
                <c:pt idx="11">
                  <c:v>-0.85807067812798365</c:v>
                </c:pt>
                <c:pt idx="12">
                  <c:v>-2.0997134670487103</c:v>
                </c:pt>
                <c:pt idx="13">
                  <c:v>-1.7902578796561617</c:v>
                </c:pt>
                <c:pt idx="14">
                  <c:v>1.6595988538681929</c:v>
                </c:pt>
                <c:pt idx="15">
                  <c:v>0.80000000000000071</c:v>
                </c:pt>
                <c:pt idx="16">
                  <c:v>0.43705826170009843</c:v>
                </c:pt>
                <c:pt idx="17">
                  <c:v>0.69684813753581665</c:v>
                </c:pt>
                <c:pt idx="18">
                  <c:v>1.1667621776504298</c:v>
                </c:pt>
                <c:pt idx="19">
                  <c:v>0.72359121298949347</c:v>
                </c:pt>
              </c:numCache>
            </c:numRef>
          </c:xVal>
          <c:yVal>
            <c:numRef>
              <c:f>Eley25yd!$J$3:$J$32</c:f>
              <c:numCache>
                <c:formatCode>General</c:formatCode>
                <c:ptCount val="30"/>
                <c:pt idx="0">
                  <c:v>2.5625596943648503</c:v>
                </c:pt>
                <c:pt idx="1">
                  <c:v>1.9971346704871031</c:v>
                </c:pt>
                <c:pt idx="2">
                  <c:v>0.77841451766952829</c:v>
                </c:pt>
                <c:pt idx="3">
                  <c:v>0.20916905444125788</c:v>
                </c:pt>
                <c:pt idx="4">
                  <c:v>-0.36007640878701253</c:v>
                </c:pt>
                <c:pt idx="5">
                  <c:v>1.3247373447946487</c:v>
                </c:pt>
                <c:pt idx="6">
                  <c:v>1.0878701050620805</c:v>
                </c:pt>
                <c:pt idx="7">
                  <c:v>1.3247373447946487</c:v>
                </c:pt>
                <c:pt idx="8">
                  <c:v>1.6609360076408741</c:v>
                </c:pt>
                <c:pt idx="9">
                  <c:v>1.0343839541547268</c:v>
                </c:pt>
                <c:pt idx="10">
                  <c:v>0.15568290353390424</c:v>
                </c:pt>
                <c:pt idx="11">
                  <c:v>-0.62368672397326108</c:v>
                </c:pt>
                <c:pt idx="12">
                  <c:v>-1.8385864374403056</c:v>
                </c:pt>
                <c:pt idx="13">
                  <c:v>-3.7793696275071653</c:v>
                </c:pt>
                <c:pt idx="14">
                  <c:v>-1.6055396370582642</c:v>
                </c:pt>
                <c:pt idx="15">
                  <c:v>-1.9149952244508164</c:v>
                </c:pt>
                <c:pt idx="16">
                  <c:v>-0.10028653295129075</c:v>
                </c:pt>
                <c:pt idx="17">
                  <c:v>-0.10028653295129075</c:v>
                </c:pt>
                <c:pt idx="18">
                  <c:v>-0.77650429799427201</c:v>
                </c:pt>
                <c:pt idx="19">
                  <c:v>-1.0362941738299902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405824"/>
        <c:axId val="355408128"/>
      </c:scatterChart>
      <c:valAx>
        <c:axId val="355405824"/>
        <c:scaling>
          <c:orientation val="minMax"/>
          <c:max val="4"/>
          <c:min val="-4"/>
        </c:scaling>
        <c:delete val="0"/>
        <c:axPos val="b"/>
        <c:numFmt formatCode="General" sourceLinked="1"/>
        <c:majorTickMark val="out"/>
        <c:minorTickMark val="none"/>
        <c:tickLblPos val="nextTo"/>
        <c:crossAx val="355408128"/>
        <c:crosses val="autoZero"/>
        <c:crossBetween val="midCat"/>
        <c:majorUnit val="2"/>
      </c:valAx>
      <c:valAx>
        <c:axId val="355408128"/>
        <c:scaling>
          <c:orientation val="minMax"/>
          <c:max val="4"/>
          <c:min val="-4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355405824"/>
        <c:crossesAt val="0"/>
        <c:crossBetween val="midCat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Aggregated Shots in MOA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Eley50yd!$J$2</c:f>
              <c:strCache>
                <c:ptCount val="1"/>
                <c:pt idx="0">
                  <c:v>Chart 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70C0">
                  <a:alpha val="50000"/>
                </a:srgbClr>
              </a:solidFill>
              <a:ln>
                <a:noFill/>
              </a:ln>
            </c:spPr>
          </c:marker>
          <c:xVal>
            <c:numRef>
              <c:f>Eley50yd!$I$3:$I$32</c:f>
              <c:numCache>
                <c:formatCode>General</c:formatCode>
                <c:ptCount val="30"/>
                <c:pt idx="0">
                  <c:v>-0.26103151862464191</c:v>
                </c:pt>
                <c:pt idx="1">
                  <c:v>0.4667621776504296</c:v>
                </c:pt>
                <c:pt idx="2">
                  <c:v>1.6434574976122258</c:v>
                </c:pt>
                <c:pt idx="3">
                  <c:v>2.3884431709646616</c:v>
                </c:pt>
                <c:pt idx="4">
                  <c:v>-0.18844317096466057</c:v>
                </c:pt>
                <c:pt idx="5">
                  <c:v>-2.0375358166189113</c:v>
                </c:pt>
                <c:pt idx="6">
                  <c:v>-1.6765042979942693</c:v>
                </c:pt>
                <c:pt idx="7">
                  <c:v>-0.71375358166189073</c:v>
                </c:pt>
                <c:pt idx="8">
                  <c:v>0.59283667621776548</c:v>
                </c:pt>
                <c:pt idx="9">
                  <c:v>-0.11585482330467922</c:v>
                </c:pt>
                <c:pt idx="10">
                  <c:v>0.35596943648519641</c:v>
                </c:pt>
                <c:pt idx="11">
                  <c:v>0.90038204393505339</c:v>
                </c:pt>
                <c:pt idx="12">
                  <c:v>-0.91432664756446957</c:v>
                </c:pt>
                <c:pt idx="13">
                  <c:v>-1.1301814708691502</c:v>
                </c:pt>
                <c:pt idx="14">
                  <c:v>0.35596943648519641</c:v>
                </c:pt>
                <c:pt idx="15">
                  <c:v>1.4638968481375363</c:v>
                </c:pt>
                <c:pt idx="16">
                  <c:v>1.5173829990448908</c:v>
                </c:pt>
                <c:pt idx="17">
                  <c:v>0.90038204393505339</c:v>
                </c:pt>
                <c:pt idx="18">
                  <c:v>-1.3116523400191022</c:v>
                </c:pt>
                <c:pt idx="19">
                  <c:v>-2.2361986628462271</c:v>
                </c:pt>
              </c:numCache>
            </c:numRef>
          </c:xVal>
          <c:yVal>
            <c:numRef>
              <c:f>Eley50yd!$J$3:$J$32</c:f>
              <c:numCache>
                <c:formatCode>General</c:formatCode>
                <c:ptCount val="30"/>
                <c:pt idx="0">
                  <c:v>2.9100286532951296</c:v>
                </c:pt>
                <c:pt idx="1">
                  <c:v>2.3866284622731619</c:v>
                </c:pt>
                <c:pt idx="2">
                  <c:v>1.5327602674307554</c:v>
                </c:pt>
                <c:pt idx="3">
                  <c:v>0.40955109837631376</c:v>
                </c:pt>
                <c:pt idx="4">
                  <c:v>1.5155682903533911</c:v>
                </c:pt>
                <c:pt idx="5">
                  <c:v>1.3531996179560659</c:v>
                </c:pt>
                <c:pt idx="6">
                  <c:v>1.2978032473734489</c:v>
                </c:pt>
                <c:pt idx="7">
                  <c:v>0.91575931232091801</c:v>
                </c:pt>
                <c:pt idx="8">
                  <c:v>0.46303724928366741</c:v>
                </c:pt>
                <c:pt idx="9">
                  <c:v>-4.5081184336197566E-2</c:v>
                </c:pt>
                <c:pt idx="10">
                  <c:v>-8.1375358166189571E-2</c:v>
                </c:pt>
                <c:pt idx="11">
                  <c:v>-0.26093600764087732</c:v>
                </c:pt>
                <c:pt idx="12">
                  <c:v>-0.47870105062082047</c:v>
                </c:pt>
                <c:pt idx="13">
                  <c:v>-0.86074498567335134</c:v>
                </c:pt>
                <c:pt idx="14">
                  <c:v>-1.1682903533906401</c:v>
                </c:pt>
                <c:pt idx="15">
                  <c:v>-1.1319961795606499</c:v>
                </c:pt>
                <c:pt idx="16">
                  <c:v>-1.4949379178605522</c:v>
                </c:pt>
                <c:pt idx="17">
                  <c:v>-1.8769818529130848</c:v>
                </c:pt>
                <c:pt idx="18">
                  <c:v>-1.9667621776504287</c:v>
                </c:pt>
                <c:pt idx="19">
                  <c:v>-3.4185291308500485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559360"/>
        <c:axId val="368854528"/>
      </c:scatterChart>
      <c:valAx>
        <c:axId val="364559360"/>
        <c:scaling>
          <c:orientation val="minMax"/>
          <c:max val="4"/>
          <c:min val="-4"/>
        </c:scaling>
        <c:delete val="0"/>
        <c:axPos val="b"/>
        <c:numFmt formatCode="General" sourceLinked="1"/>
        <c:majorTickMark val="out"/>
        <c:minorTickMark val="none"/>
        <c:tickLblPos val="nextTo"/>
        <c:crossAx val="368854528"/>
        <c:crosses val="autoZero"/>
        <c:crossBetween val="midCat"/>
        <c:majorUnit val="1"/>
      </c:valAx>
      <c:valAx>
        <c:axId val="368854528"/>
        <c:scaling>
          <c:orientation val="minMax"/>
          <c:max val="4"/>
          <c:min val="-4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364559360"/>
        <c:crossesAt val="0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50 Yard</c:v>
          </c:tx>
          <c:spPr>
            <a:ln w="28575">
              <a:noFill/>
            </a:ln>
          </c:spPr>
          <c:marker>
            <c:symbol val="circle"/>
            <c:size val="11"/>
            <c:spPr>
              <a:ln>
                <a:noFill/>
              </a:ln>
            </c:spPr>
          </c:marker>
          <c:xVal>
            <c:numRef>
              <c:f>Eley25v50!$F$2:$F$21</c:f>
              <c:numCache>
                <c:formatCode>General</c:formatCode>
                <c:ptCount val="20"/>
                <c:pt idx="0">
                  <c:v>-0.26103151862464191</c:v>
                </c:pt>
                <c:pt idx="1">
                  <c:v>0.4667621776504296</c:v>
                </c:pt>
                <c:pt idx="2">
                  <c:v>1.6434574976122258</c:v>
                </c:pt>
                <c:pt idx="3">
                  <c:v>2.3884431709646616</c:v>
                </c:pt>
                <c:pt idx="4">
                  <c:v>-0.18844317096466057</c:v>
                </c:pt>
                <c:pt idx="5">
                  <c:v>-2.0375358166189113</c:v>
                </c:pt>
                <c:pt idx="6">
                  <c:v>-1.6765042979942693</c:v>
                </c:pt>
                <c:pt idx="7">
                  <c:v>-0.71375358166189073</c:v>
                </c:pt>
                <c:pt idx="8">
                  <c:v>0.59283667621776548</c:v>
                </c:pt>
                <c:pt idx="9">
                  <c:v>-0.11585482330467922</c:v>
                </c:pt>
                <c:pt idx="10">
                  <c:v>0.35596943648519641</c:v>
                </c:pt>
                <c:pt idx="11">
                  <c:v>0.90038204393505339</c:v>
                </c:pt>
                <c:pt idx="12">
                  <c:v>-0.91432664756446957</c:v>
                </c:pt>
                <c:pt idx="13">
                  <c:v>-1.1301814708691502</c:v>
                </c:pt>
                <c:pt idx="14">
                  <c:v>0.35596943648519641</c:v>
                </c:pt>
                <c:pt idx="15">
                  <c:v>1.4638968481375363</c:v>
                </c:pt>
                <c:pt idx="16">
                  <c:v>1.5173829990448908</c:v>
                </c:pt>
                <c:pt idx="17">
                  <c:v>0.90038204393505339</c:v>
                </c:pt>
                <c:pt idx="18">
                  <c:v>-1.3116523400191022</c:v>
                </c:pt>
                <c:pt idx="19">
                  <c:v>-2.2361986628462271</c:v>
                </c:pt>
              </c:numCache>
            </c:numRef>
          </c:xVal>
          <c:yVal>
            <c:numRef>
              <c:f>Eley25v50!$G$2:$G$21</c:f>
              <c:numCache>
                <c:formatCode>General</c:formatCode>
                <c:ptCount val="20"/>
                <c:pt idx="0">
                  <c:v>2.9100286532951296</c:v>
                </c:pt>
                <c:pt idx="1">
                  <c:v>2.3866284622731619</c:v>
                </c:pt>
                <c:pt idx="2">
                  <c:v>1.5327602674307554</c:v>
                </c:pt>
                <c:pt idx="3">
                  <c:v>0.40955109837631376</c:v>
                </c:pt>
                <c:pt idx="4">
                  <c:v>1.5155682903533911</c:v>
                </c:pt>
                <c:pt idx="5">
                  <c:v>1.3531996179560659</c:v>
                </c:pt>
                <c:pt idx="6">
                  <c:v>1.2978032473734489</c:v>
                </c:pt>
                <c:pt idx="7">
                  <c:v>0.91575931232091801</c:v>
                </c:pt>
                <c:pt idx="8">
                  <c:v>0.46303724928366741</c:v>
                </c:pt>
                <c:pt idx="9">
                  <c:v>-4.5081184336197566E-2</c:v>
                </c:pt>
                <c:pt idx="10">
                  <c:v>-8.1375358166189571E-2</c:v>
                </c:pt>
                <c:pt idx="11">
                  <c:v>-0.26093600764087732</c:v>
                </c:pt>
                <c:pt idx="12">
                  <c:v>-0.47870105062082047</c:v>
                </c:pt>
                <c:pt idx="13">
                  <c:v>-0.86074498567335134</c:v>
                </c:pt>
                <c:pt idx="14">
                  <c:v>-1.1682903533906401</c:v>
                </c:pt>
                <c:pt idx="15">
                  <c:v>-1.1319961795606499</c:v>
                </c:pt>
                <c:pt idx="16">
                  <c:v>-1.4949379178605522</c:v>
                </c:pt>
                <c:pt idx="17">
                  <c:v>-1.8769818529130848</c:v>
                </c:pt>
                <c:pt idx="18">
                  <c:v>-1.9667621776504287</c:v>
                </c:pt>
                <c:pt idx="19">
                  <c:v>-3.4185291308500485</c:v>
                </c:pt>
              </c:numCache>
            </c:numRef>
          </c:yVal>
          <c:smooth val="0"/>
        </c:ser>
        <c:ser>
          <c:idx val="1"/>
          <c:order val="1"/>
          <c:tx>
            <c:v>25 Yard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>
                  <a:alpha val="50000"/>
                </a:srgbClr>
              </a:solidFill>
              <a:ln>
                <a:noFill/>
              </a:ln>
            </c:spPr>
          </c:marker>
          <c:xVal>
            <c:numRef>
              <c:f>Eley25v50!$B$2:$B$21</c:f>
              <c:numCache>
                <c:formatCode>General</c:formatCode>
                <c:ptCount val="20"/>
                <c:pt idx="0">
                  <c:v>-0.38815663801337053</c:v>
                </c:pt>
                <c:pt idx="1">
                  <c:v>0.69684813753581665</c:v>
                </c:pt>
                <c:pt idx="2">
                  <c:v>1.9690544412607451</c:v>
                </c:pt>
                <c:pt idx="3">
                  <c:v>2.5382999044890191</c:v>
                </c:pt>
                <c:pt idx="4">
                  <c:v>2.6681948424068764</c:v>
                </c:pt>
                <c:pt idx="5">
                  <c:v>-7.8701050620820112E-2</c:v>
                </c:pt>
                <c:pt idx="6">
                  <c:v>-0.80458452722063001</c:v>
                </c:pt>
                <c:pt idx="7">
                  <c:v>-1.2706781279847181</c:v>
                </c:pt>
                <c:pt idx="8">
                  <c:v>-1.5801337153772685</c:v>
                </c:pt>
                <c:pt idx="9">
                  <c:v>-2.0997134670487103</c:v>
                </c:pt>
                <c:pt idx="10">
                  <c:v>-2.3862464183381089</c:v>
                </c:pt>
                <c:pt idx="11">
                  <c:v>-0.85807067812798365</c:v>
                </c:pt>
                <c:pt idx="12">
                  <c:v>-2.0997134670487103</c:v>
                </c:pt>
                <c:pt idx="13">
                  <c:v>-1.7902578796561617</c:v>
                </c:pt>
                <c:pt idx="14">
                  <c:v>1.6595988538681929</c:v>
                </c:pt>
                <c:pt idx="15">
                  <c:v>0.80000000000000071</c:v>
                </c:pt>
                <c:pt idx="16">
                  <c:v>0.43705826170009843</c:v>
                </c:pt>
                <c:pt idx="17">
                  <c:v>0.69684813753581665</c:v>
                </c:pt>
                <c:pt idx="18">
                  <c:v>1.1667621776504298</c:v>
                </c:pt>
                <c:pt idx="19">
                  <c:v>0.72359121298949347</c:v>
                </c:pt>
              </c:numCache>
            </c:numRef>
          </c:xVal>
          <c:yVal>
            <c:numRef>
              <c:f>Eley25v50!$C$2:$C$21</c:f>
              <c:numCache>
                <c:formatCode>General</c:formatCode>
                <c:ptCount val="20"/>
                <c:pt idx="0">
                  <c:v>2.5625596943648503</c:v>
                </c:pt>
                <c:pt idx="1">
                  <c:v>1.9971346704871031</c:v>
                </c:pt>
                <c:pt idx="2">
                  <c:v>0.77841451766952829</c:v>
                </c:pt>
                <c:pt idx="3">
                  <c:v>0.20916905444125788</c:v>
                </c:pt>
                <c:pt idx="4">
                  <c:v>-0.36007640878701253</c:v>
                </c:pt>
                <c:pt idx="5">
                  <c:v>1.3247373447946487</c:v>
                </c:pt>
                <c:pt idx="6">
                  <c:v>1.0878701050620805</c:v>
                </c:pt>
                <c:pt idx="7">
                  <c:v>1.3247373447946487</c:v>
                </c:pt>
                <c:pt idx="8">
                  <c:v>1.6609360076408741</c:v>
                </c:pt>
                <c:pt idx="9">
                  <c:v>1.0343839541547268</c:v>
                </c:pt>
                <c:pt idx="10">
                  <c:v>0.15568290353390424</c:v>
                </c:pt>
                <c:pt idx="11">
                  <c:v>-0.62368672397326108</c:v>
                </c:pt>
                <c:pt idx="12">
                  <c:v>-1.8385864374403056</c:v>
                </c:pt>
                <c:pt idx="13">
                  <c:v>-3.7793696275071653</c:v>
                </c:pt>
                <c:pt idx="14">
                  <c:v>-1.6055396370582642</c:v>
                </c:pt>
                <c:pt idx="15">
                  <c:v>-1.9149952244508164</c:v>
                </c:pt>
                <c:pt idx="16">
                  <c:v>-0.10028653295129075</c:v>
                </c:pt>
                <c:pt idx="17">
                  <c:v>-0.10028653295129075</c:v>
                </c:pt>
                <c:pt idx="18">
                  <c:v>-0.77650429799427201</c:v>
                </c:pt>
                <c:pt idx="19">
                  <c:v>-1.0362941738299902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113728"/>
        <c:axId val="369387392"/>
      </c:scatterChart>
      <c:valAx>
        <c:axId val="36911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9387392"/>
        <c:crosses val="autoZero"/>
        <c:crossBetween val="midCat"/>
      </c:valAx>
      <c:valAx>
        <c:axId val="369387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9113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Aggregated Shots in MOA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Champion25yd!$J$2</c:f>
              <c:strCache>
                <c:ptCount val="1"/>
                <c:pt idx="0">
                  <c:v>Chart 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70C0">
                  <a:alpha val="50000"/>
                </a:srgbClr>
              </a:solidFill>
              <a:ln>
                <a:noFill/>
              </a:ln>
            </c:spPr>
          </c:marker>
          <c:xVal>
            <c:numRef>
              <c:f>Champion25yd!$I$3:$I$32</c:f>
              <c:numCache>
                <c:formatCode>General</c:formatCode>
                <c:ptCount val="30"/>
                <c:pt idx="0">
                  <c:v>-4.459216809933146</c:v>
                </c:pt>
                <c:pt idx="1">
                  <c:v>-2.6521489971346739</c:v>
                </c:pt>
                <c:pt idx="2">
                  <c:v>-1.0284622731614128</c:v>
                </c:pt>
                <c:pt idx="3">
                  <c:v>1.783381088825216</c:v>
                </c:pt>
                <c:pt idx="4">
                  <c:v>1.0383954154727775</c:v>
                </c:pt>
                <c:pt idx="5">
                  <c:v>4.1596943648519584</c:v>
                </c:pt>
                <c:pt idx="6">
                  <c:v>1.1415472779369615</c:v>
                </c:pt>
                <c:pt idx="7">
                  <c:v>-1.5442215854823331</c:v>
                </c:pt>
                <c:pt idx="8">
                  <c:v>-0.17268385864374736</c:v>
                </c:pt>
                <c:pt idx="9">
                  <c:v>1.7337153772683855</c:v>
                </c:pt>
                <c:pt idx="10">
                  <c:v>-10.850047755491879</c:v>
                </c:pt>
                <c:pt idx="11">
                  <c:v>-8.8863419293218691</c:v>
                </c:pt>
                <c:pt idx="12">
                  <c:v>-3.2855778414517651</c:v>
                </c:pt>
                <c:pt idx="13">
                  <c:v>-2.2349570200573048</c:v>
                </c:pt>
                <c:pt idx="14">
                  <c:v>-2.5940783190066838</c:v>
                </c:pt>
                <c:pt idx="15">
                  <c:v>-2.7774594078318984</c:v>
                </c:pt>
                <c:pt idx="16">
                  <c:v>5.2225405921681052</c:v>
                </c:pt>
                <c:pt idx="17">
                  <c:v>4.2063037249283717</c:v>
                </c:pt>
                <c:pt idx="18">
                  <c:v>0.82139446036294572</c:v>
                </c:pt>
                <c:pt idx="19">
                  <c:v>0.42024832855778627</c:v>
                </c:pt>
                <c:pt idx="20">
                  <c:v>-0.45081184336198277</c:v>
                </c:pt>
                <c:pt idx="21">
                  <c:v>-0.74116523400190637</c:v>
                </c:pt>
                <c:pt idx="22">
                  <c:v>0.2750716332378218</c:v>
                </c:pt>
                <c:pt idx="23">
                  <c:v>6.3113658070678156</c:v>
                </c:pt>
                <c:pt idx="24">
                  <c:v>6.0592168099331438</c:v>
                </c:pt>
                <c:pt idx="25">
                  <c:v>3.6943648519579781</c:v>
                </c:pt>
                <c:pt idx="26">
                  <c:v>3.1824259789875846</c:v>
                </c:pt>
                <c:pt idx="27">
                  <c:v>1.8758357211079293</c:v>
                </c:pt>
                <c:pt idx="28">
                  <c:v>1.5854823304680075</c:v>
                </c:pt>
                <c:pt idx="29">
                  <c:v>0.74880611270296527</c:v>
                </c:pt>
              </c:numCache>
            </c:numRef>
          </c:xVal>
          <c:yVal>
            <c:numRef>
              <c:f>Champion25yd!$J$3:$J$32</c:f>
              <c:numCache>
                <c:formatCode>General</c:formatCode>
                <c:ptCount val="30"/>
                <c:pt idx="0">
                  <c:v>1.3627507163323749</c:v>
                </c:pt>
                <c:pt idx="1">
                  <c:v>2.0084049665711561</c:v>
                </c:pt>
                <c:pt idx="2">
                  <c:v>0.90047755491881531</c:v>
                </c:pt>
                <c:pt idx="3">
                  <c:v>3.3761222540592151</c:v>
                </c:pt>
                <c:pt idx="4">
                  <c:v>2.3713467048710584</c:v>
                </c:pt>
                <c:pt idx="5">
                  <c:v>-1.6019102196752648</c:v>
                </c:pt>
                <c:pt idx="6">
                  <c:v>-3.4319006685768869</c:v>
                </c:pt>
                <c:pt idx="7">
                  <c:v>-1.8082139446036329</c:v>
                </c:pt>
                <c:pt idx="8">
                  <c:v>-5.781470869149949</c:v>
                </c:pt>
                <c:pt idx="9">
                  <c:v>2.6043935052531033</c:v>
                </c:pt>
                <c:pt idx="10">
                  <c:v>0.34422158548232851</c:v>
                </c:pt>
                <c:pt idx="11">
                  <c:v>-4.2021012416427883</c:v>
                </c:pt>
                <c:pt idx="12">
                  <c:v>-4.2021012416427883</c:v>
                </c:pt>
                <c:pt idx="13">
                  <c:v>-3.6557784145176715</c:v>
                </c:pt>
                <c:pt idx="14">
                  <c:v>-2.6739255014326648</c:v>
                </c:pt>
                <c:pt idx="15">
                  <c:v>-0.96618911174785183</c:v>
                </c:pt>
                <c:pt idx="16">
                  <c:v>-2.8573065902578829</c:v>
                </c:pt>
                <c:pt idx="17">
                  <c:v>-2.998662846227317</c:v>
                </c:pt>
                <c:pt idx="18">
                  <c:v>-4.0187201528175738</c:v>
                </c:pt>
                <c:pt idx="19">
                  <c:v>-4.4924546322827137</c:v>
                </c:pt>
                <c:pt idx="20">
                  <c:v>-3.3654250238777461</c:v>
                </c:pt>
                <c:pt idx="21">
                  <c:v>-2.6739255014326648</c:v>
                </c:pt>
                <c:pt idx="22">
                  <c:v>-1.8372492836676226</c:v>
                </c:pt>
                <c:pt idx="23">
                  <c:v>4.9975167144221579</c:v>
                </c:pt>
                <c:pt idx="24">
                  <c:v>3.6145176695319972</c:v>
                </c:pt>
                <c:pt idx="25">
                  <c:v>1.0701050620821384</c:v>
                </c:pt>
                <c:pt idx="26">
                  <c:v>-0.16771728748806147</c:v>
                </c:pt>
                <c:pt idx="27">
                  <c:v>0.52378223495701981</c:v>
                </c:pt>
                <c:pt idx="28">
                  <c:v>1.3260744985673352</c:v>
                </c:pt>
                <c:pt idx="29">
                  <c:v>0.99751671442215795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639808"/>
        <c:axId val="369642112"/>
      </c:scatterChart>
      <c:valAx>
        <c:axId val="369639808"/>
        <c:scaling>
          <c:orientation val="minMax"/>
          <c:max val="10"/>
          <c:min val="-10"/>
        </c:scaling>
        <c:delete val="0"/>
        <c:axPos val="b"/>
        <c:numFmt formatCode="General" sourceLinked="1"/>
        <c:majorTickMark val="out"/>
        <c:minorTickMark val="none"/>
        <c:tickLblPos val="nextTo"/>
        <c:crossAx val="369642112"/>
        <c:crosses val="autoZero"/>
        <c:crossBetween val="midCat"/>
        <c:majorUnit val="2"/>
      </c:valAx>
      <c:valAx>
        <c:axId val="369642112"/>
        <c:scaling>
          <c:orientation val="minMax"/>
          <c:max val="10"/>
          <c:min val="-1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369639808"/>
        <c:crossesAt val="0"/>
        <c:crossBetween val="midCat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Aggregated Shots in MOA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CCISV25yd!$J$2</c:f>
              <c:strCache>
                <c:ptCount val="1"/>
                <c:pt idx="0">
                  <c:v>Chart 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70C0">
                  <a:alpha val="50000"/>
                </a:srgbClr>
              </a:solidFill>
              <a:ln>
                <a:noFill/>
              </a:ln>
            </c:spPr>
          </c:marker>
          <c:xVal>
            <c:numRef>
              <c:f>CCISV25yd!$I$3:$I$32</c:f>
              <c:numCache>
                <c:formatCode>General</c:formatCode>
                <c:ptCount val="30"/>
                <c:pt idx="0">
                  <c:v>-4.357287488061127</c:v>
                </c:pt>
                <c:pt idx="1">
                  <c:v>1.2090926456542483</c:v>
                </c:pt>
                <c:pt idx="2">
                  <c:v>-0.97619866284622958</c:v>
                </c:pt>
                <c:pt idx="3">
                  <c:v>2.2979178605539623</c:v>
                </c:pt>
                <c:pt idx="4">
                  <c:v>2.8442406876790827</c:v>
                </c:pt>
                <c:pt idx="5">
                  <c:v>0.29982808022922569</c:v>
                </c:pt>
                <c:pt idx="6">
                  <c:v>0.62456542502387791</c:v>
                </c:pt>
                <c:pt idx="7">
                  <c:v>-0.42987583572110566</c:v>
                </c:pt>
                <c:pt idx="8">
                  <c:v>1.93497612225406</c:v>
                </c:pt>
                <c:pt idx="9">
                  <c:v>2.1527411652340014</c:v>
                </c:pt>
                <c:pt idx="10">
                  <c:v>2.2253295128939818</c:v>
                </c:pt>
                <c:pt idx="11">
                  <c:v>1.063915950334291</c:v>
                </c:pt>
                <c:pt idx="12">
                  <c:v>0.62456542502387791</c:v>
                </c:pt>
                <c:pt idx="13">
                  <c:v>0.33421203438395253</c:v>
                </c:pt>
                <c:pt idx="14">
                  <c:v>0.47938872970391699</c:v>
                </c:pt>
                <c:pt idx="15">
                  <c:v>1.4956255969436469</c:v>
                </c:pt>
                <c:pt idx="16">
                  <c:v>1.3542693409742128</c:v>
                </c:pt>
                <c:pt idx="17">
                  <c:v>-1.3391404011461319</c:v>
                </c:pt>
                <c:pt idx="18">
                  <c:v>-2.2102005730659009</c:v>
                </c:pt>
                <c:pt idx="19">
                  <c:v>-4.2082903533906411</c:v>
                </c:pt>
                <c:pt idx="20">
                  <c:v>-2.320993314231135</c:v>
                </c:pt>
                <c:pt idx="21">
                  <c:v>-1.1213753581661869</c:v>
                </c:pt>
                <c:pt idx="22">
                  <c:v>-1.9580515759312327</c:v>
                </c:pt>
                <c:pt idx="23">
                  <c:v>-2.1376122254059204</c:v>
                </c:pt>
                <c:pt idx="24">
                  <c:v>2.1183572110792745</c:v>
                </c:pt>
              </c:numCache>
            </c:numRef>
          </c:xVal>
          <c:yVal>
            <c:numRef>
              <c:f>CCISV25yd!$J$3:$J$32</c:f>
              <c:numCache>
                <c:formatCode>General</c:formatCode>
                <c:ptCount val="30"/>
                <c:pt idx="0">
                  <c:v>5.5127411652340008</c:v>
                </c:pt>
                <c:pt idx="1">
                  <c:v>4.3857115568290332</c:v>
                </c:pt>
                <c:pt idx="2">
                  <c:v>3.4038586437440301</c:v>
                </c:pt>
                <c:pt idx="3">
                  <c:v>2.0208595988538676</c:v>
                </c:pt>
                <c:pt idx="4">
                  <c:v>1.5509455587392544</c:v>
                </c:pt>
                <c:pt idx="5">
                  <c:v>2.1660362941738285</c:v>
                </c:pt>
                <c:pt idx="6">
                  <c:v>1.6961222540592154</c:v>
                </c:pt>
                <c:pt idx="7">
                  <c:v>1.0428271251193877</c:v>
                </c:pt>
                <c:pt idx="8">
                  <c:v>0.13356255969436148</c:v>
                </c:pt>
                <c:pt idx="9">
                  <c:v>0.24053486150907233</c:v>
                </c:pt>
                <c:pt idx="10">
                  <c:v>-0.88649474689589525</c:v>
                </c:pt>
                <c:pt idx="11">
                  <c:v>-1.1768481375358206</c:v>
                </c:pt>
                <c:pt idx="12">
                  <c:v>-1.1768481375358206</c:v>
                </c:pt>
                <c:pt idx="13">
                  <c:v>-0.77570200573066117</c:v>
                </c:pt>
                <c:pt idx="14">
                  <c:v>-2.1587010506208237</c:v>
                </c:pt>
                <c:pt idx="15">
                  <c:v>-2.7012034383954173</c:v>
                </c:pt>
                <c:pt idx="16">
                  <c:v>-3.3927029608404951</c:v>
                </c:pt>
                <c:pt idx="17">
                  <c:v>-3.3583190066857718</c:v>
                </c:pt>
                <c:pt idx="18">
                  <c:v>-4.1224068767908335</c:v>
                </c:pt>
                <c:pt idx="19">
                  <c:v>-4.481528175740209</c:v>
                </c:pt>
                <c:pt idx="20">
                  <c:v>0.42009551098376008</c:v>
                </c:pt>
                <c:pt idx="21">
                  <c:v>-0.55793696275071625</c:v>
                </c:pt>
                <c:pt idx="22">
                  <c:v>-0.2293791786055408</c:v>
                </c:pt>
                <c:pt idx="23">
                  <c:v>0.27873925501432595</c:v>
                </c:pt>
                <c:pt idx="24">
                  <c:v>2.1660362941738285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177280"/>
        <c:axId val="382179584"/>
      </c:scatterChart>
      <c:valAx>
        <c:axId val="382177280"/>
        <c:scaling>
          <c:orientation val="minMax"/>
          <c:max val="6"/>
          <c:min val="-6"/>
        </c:scaling>
        <c:delete val="0"/>
        <c:axPos val="b"/>
        <c:numFmt formatCode="General" sourceLinked="1"/>
        <c:majorTickMark val="out"/>
        <c:minorTickMark val="none"/>
        <c:tickLblPos val="nextTo"/>
        <c:crossAx val="382179584"/>
        <c:crosses val="autoZero"/>
        <c:crossBetween val="midCat"/>
        <c:majorUnit val="2"/>
      </c:valAx>
      <c:valAx>
        <c:axId val="382179584"/>
        <c:scaling>
          <c:orientation val="minMax"/>
          <c:max val="6"/>
          <c:min val="-6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382177280"/>
        <c:crossesAt val="0"/>
        <c:crossBetween val="midCat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Aggregated Shots in MOA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CCISVunsup!$J$2</c:f>
              <c:strCache>
                <c:ptCount val="1"/>
                <c:pt idx="0">
                  <c:v>Chart 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70C0">
                  <a:alpha val="50000"/>
                </a:srgbClr>
              </a:solidFill>
              <a:ln>
                <a:noFill/>
              </a:ln>
            </c:spPr>
          </c:marker>
          <c:xVal>
            <c:numRef>
              <c:f>CCISVunsup!$I$3:$I$32</c:f>
              <c:numCache>
                <c:formatCode>General</c:formatCode>
                <c:ptCount val="30"/>
                <c:pt idx="0">
                  <c:v>-1.0888252148996358E-2</c:v>
                </c:pt>
                <c:pt idx="1">
                  <c:v>0.23744030563514862</c:v>
                </c:pt>
                <c:pt idx="2">
                  <c:v>-1.5027698185291296</c:v>
                </c:pt>
                <c:pt idx="3">
                  <c:v>-0.87430754536771715</c:v>
                </c:pt>
                <c:pt idx="4">
                  <c:v>-0.54192932187201492</c:v>
                </c:pt>
                <c:pt idx="5">
                  <c:v>-0.31079274116523337</c:v>
                </c:pt>
                <c:pt idx="6">
                  <c:v>2.0769818529130859</c:v>
                </c:pt>
                <c:pt idx="7">
                  <c:v>-0.41012416427889242</c:v>
                </c:pt>
                <c:pt idx="8">
                  <c:v>0.4857688634192936</c:v>
                </c:pt>
                <c:pt idx="9">
                  <c:v>0.85062082139446105</c:v>
                </c:pt>
                <c:pt idx="10">
                  <c:v>-0.78796561604584436</c:v>
                </c:pt>
                <c:pt idx="11">
                  <c:v>-0.53963705826169939</c:v>
                </c:pt>
                <c:pt idx="12">
                  <c:v>7.3543457497613041E-2</c:v>
                </c:pt>
                <c:pt idx="13">
                  <c:v>0.90448901623686773</c:v>
                </c:pt>
                <c:pt idx="14">
                  <c:v>0.93696275071633295</c:v>
                </c:pt>
                <c:pt idx="15">
                  <c:v>0.2893982808022928</c:v>
                </c:pt>
                <c:pt idx="16">
                  <c:v>0.15759312320917029</c:v>
                </c:pt>
                <c:pt idx="17">
                  <c:v>-0.35625596943648441</c:v>
                </c:pt>
                <c:pt idx="18">
                  <c:v>-1.6322827125119383</c:v>
                </c:pt>
                <c:pt idx="19">
                  <c:v>0.95415472779369725</c:v>
                </c:pt>
                <c:pt idx="20">
                  <c:v>1.4976122254059234</c:v>
                </c:pt>
                <c:pt idx="21">
                  <c:v>-0.97039159503342809</c:v>
                </c:pt>
                <c:pt idx="22">
                  <c:v>-0.19102196752626455</c:v>
                </c:pt>
                <c:pt idx="23">
                  <c:v>-2.6743075453675047E-2</c:v>
                </c:pt>
                <c:pt idx="24">
                  <c:v>-0.49092645654250155</c:v>
                </c:pt>
                <c:pt idx="25">
                  <c:v>-7.6408787010505463E-2</c:v>
                </c:pt>
                <c:pt idx="26">
                  <c:v>0.25596943648519677</c:v>
                </c:pt>
                <c:pt idx="27">
                  <c:v>0.27125119388729857</c:v>
                </c:pt>
                <c:pt idx="28">
                  <c:v>-0.60744985673352225</c:v>
                </c:pt>
                <c:pt idx="29">
                  <c:v>0.3381088825214924</c:v>
                </c:pt>
              </c:numCache>
            </c:numRef>
          </c:xVal>
          <c:yVal>
            <c:numRef>
              <c:f>CCISVunsup!$J$3:$J$32</c:f>
              <c:numCache>
                <c:formatCode>General</c:formatCode>
                <c:ptCount val="30"/>
                <c:pt idx="0">
                  <c:v>2.1658070678127981</c:v>
                </c:pt>
                <c:pt idx="1">
                  <c:v>0.85730659025787936</c:v>
                </c:pt>
                <c:pt idx="2">
                  <c:v>0.20974212034383921</c:v>
                </c:pt>
                <c:pt idx="3">
                  <c:v>0.54212034383954144</c:v>
                </c:pt>
                <c:pt idx="4">
                  <c:v>0.17726838586437399</c:v>
                </c:pt>
                <c:pt idx="5">
                  <c:v>0.17726838586437399</c:v>
                </c:pt>
                <c:pt idx="6">
                  <c:v>-0.18758357211079346</c:v>
                </c:pt>
                <c:pt idx="7">
                  <c:v>-0.81795606494746931</c:v>
                </c:pt>
                <c:pt idx="8">
                  <c:v>-1.645081184336199</c:v>
                </c:pt>
                <c:pt idx="9">
                  <c:v>-1.4788920725883479</c:v>
                </c:pt>
                <c:pt idx="10">
                  <c:v>2.0292263610315207</c:v>
                </c:pt>
                <c:pt idx="11">
                  <c:v>1.2001910219675285</c:v>
                </c:pt>
                <c:pt idx="12">
                  <c:v>1.0511938872970408</c:v>
                </c:pt>
                <c:pt idx="13">
                  <c:v>0.23744030563515039</c:v>
                </c:pt>
                <c:pt idx="14">
                  <c:v>-0.12550143266475544</c:v>
                </c:pt>
                <c:pt idx="15">
                  <c:v>-0.70620821394460265</c:v>
                </c:pt>
                <c:pt idx="16">
                  <c:v>-0.40821394460362725</c:v>
                </c:pt>
                <c:pt idx="17">
                  <c:v>-0.75587392550143129</c:v>
                </c:pt>
                <c:pt idx="18">
                  <c:v>-0.54001910219674976</c:v>
                </c:pt>
                <c:pt idx="19">
                  <c:v>-1.9822349570200544</c:v>
                </c:pt>
                <c:pt idx="20">
                  <c:v>0.95893027698185307</c:v>
                </c:pt>
                <c:pt idx="21">
                  <c:v>1.0601719197707737</c:v>
                </c:pt>
                <c:pt idx="22">
                  <c:v>0.71251193887297148</c:v>
                </c:pt>
                <c:pt idx="23">
                  <c:v>0.59407831900668562</c:v>
                </c:pt>
                <c:pt idx="24">
                  <c:v>0.296084049665712</c:v>
                </c:pt>
                <c:pt idx="25">
                  <c:v>0.1470869149952243</c:v>
                </c:pt>
                <c:pt idx="26">
                  <c:v>-0.49856733524355334</c:v>
                </c:pt>
                <c:pt idx="27">
                  <c:v>-0.81375358166189216</c:v>
                </c:pt>
                <c:pt idx="28">
                  <c:v>-0.39923591212989429</c:v>
                </c:pt>
                <c:pt idx="29">
                  <c:v>-2.0573065902578804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653376"/>
        <c:axId val="409949696"/>
      </c:scatterChart>
      <c:valAx>
        <c:axId val="407653376"/>
        <c:scaling>
          <c:orientation val="minMax"/>
          <c:max val="3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crossAx val="409949696"/>
        <c:crosses val="autoZero"/>
        <c:crossBetween val="midCat"/>
        <c:majorUnit val="1"/>
      </c:valAx>
      <c:valAx>
        <c:axId val="409949696"/>
        <c:scaling>
          <c:orientation val="minMax"/>
          <c:max val="3"/>
          <c:min val="-3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407653376"/>
        <c:crossesAt val="0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0</xdr:rowOff>
    </xdr:from>
    <xdr:to>
      <xdr:col>17</xdr:col>
      <xdr:colOff>533400</xdr:colOff>
      <xdr:row>31</xdr:row>
      <xdr:rowOff>69850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0</xdr:rowOff>
    </xdr:from>
    <xdr:to>
      <xdr:col>17</xdr:col>
      <xdr:colOff>533400</xdr:colOff>
      <xdr:row>31</xdr:row>
      <xdr:rowOff>69850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0</xdr:rowOff>
    </xdr:from>
    <xdr:to>
      <xdr:col>17</xdr:col>
      <xdr:colOff>533400</xdr:colOff>
      <xdr:row>31</xdr:row>
      <xdr:rowOff>69850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0</xdr:rowOff>
    </xdr:from>
    <xdr:to>
      <xdr:col>17</xdr:col>
      <xdr:colOff>533400</xdr:colOff>
      <xdr:row>31</xdr:row>
      <xdr:rowOff>69850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0</xdr:rowOff>
    </xdr:from>
    <xdr:to>
      <xdr:col>17</xdr:col>
      <xdr:colOff>533400</xdr:colOff>
      <xdr:row>31</xdr:row>
      <xdr:rowOff>69850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0</xdr:rowOff>
    </xdr:from>
    <xdr:to>
      <xdr:col>17</xdr:col>
      <xdr:colOff>533400</xdr:colOff>
      <xdr:row>31</xdr:row>
      <xdr:rowOff>69850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0</xdr:rowOff>
    </xdr:from>
    <xdr:to>
      <xdr:col>17</xdr:col>
      <xdr:colOff>533400</xdr:colOff>
      <xdr:row>31</xdr:row>
      <xdr:rowOff>69850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146050</xdr:rowOff>
    </xdr:from>
    <xdr:to>
      <xdr:col>11</xdr:col>
      <xdr:colOff>517525</xdr:colOff>
      <xdr:row>29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0</xdr:rowOff>
    </xdr:from>
    <xdr:to>
      <xdr:col>17</xdr:col>
      <xdr:colOff>533400</xdr:colOff>
      <xdr:row>31</xdr:row>
      <xdr:rowOff>69850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0</xdr:rowOff>
    </xdr:from>
    <xdr:to>
      <xdr:col>17</xdr:col>
      <xdr:colOff>533400</xdr:colOff>
      <xdr:row>31</xdr:row>
      <xdr:rowOff>69850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0</xdr:rowOff>
    </xdr:from>
    <xdr:to>
      <xdr:col>17</xdr:col>
      <xdr:colOff>533400</xdr:colOff>
      <xdr:row>31</xdr:row>
      <xdr:rowOff>69850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" refreshedDate="42983.415656597223" createdVersion="4" refreshedVersion="4" minRefreshableVersion="3" recordCount="25">
  <cacheSource type="worksheet">
    <worksheetSource ref="A2:K27" sheet="CCISV25yd"/>
  </cacheSource>
  <cacheFields count="11">
    <cacheField name="Group" numFmtId="0">
      <sharedItems containsSemiMixedTypes="0" containsString="0" containsNumber="1" containsInteger="1" minValue="1" maxValue="1" count="1">
        <n v="1"/>
      </sharedItems>
    </cacheField>
    <cacheField name="Distance" numFmtId="0">
      <sharedItems containsSemiMixedTypes="0" containsString="0" containsNumber="1" containsInteger="1" minValue="25" maxValue="25"/>
    </cacheField>
    <cacheField name="Point X" numFmtId="0">
      <sharedItems containsSemiMixedTypes="0" containsString="0" containsNumber="1" minValue="3.9969999999999999" maxValue="5.8819999999999997"/>
    </cacheField>
    <cacheField name="Point Y" numFmtId="0">
      <sharedItems containsSemiMixedTypes="0" containsString="0" containsNumber="1" minValue="4.8140000000000001" maxValue="7.43"/>
    </cacheField>
    <cacheField name="Point X2" numFmtId="0">
      <sharedItems containsSemiMixedTypes="0" containsString="0" containsNumber="1" minValue="15.270296084049667" maxValue="22.471824259789877"/>
    </cacheField>
    <cacheField name="Point Y2" numFmtId="0">
      <sharedItems containsSemiMixedTypes="0" containsString="0" containsNumber="1" minValue="18.391595033428846" maxValue="28.385864374403056"/>
    </cacheField>
    <cacheField name="Center X" numFmtId="0">
      <sharedItems containsSemiMixedTypes="0" containsString="0" containsNumber="1" minValue="19.627583572110794" maxValue="19.627583572110794"/>
    </cacheField>
    <cacheField name="Center Y" numFmtId="0">
      <sharedItems containsSemiMixedTypes="0" containsString="0" containsNumber="1" minValue="23.904336198662847" maxValue="23.904336198662847"/>
    </cacheField>
    <cacheField name="Chart X" numFmtId="0">
      <sharedItems containsSemiMixedTypes="0" containsString="0" containsNumber="1" minValue="-4.357287488061127" maxValue="2.8442406876790827"/>
    </cacheField>
    <cacheField name="Chart Y" numFmtId="0">
      <sharedItems containsSemiMixedTypes="0" containsString="0" containsNumber="1" minValue="-4.481528175740209" maxValue="5.5127411652340008"/>
    </cacheField>
    <cacheField name="Radius^2" numFmtId="0">
      <sharedItems containsSemiMixedTypes="0" containsString="0" containsNumber="1" minValue="0.71341128562163092" maxValue="49.3762694084795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David" refreshedDate="42998.494704745368" createdVersion="4" refreshedVersion="4" minRefreshableVersion="3" recordCount="10">
  <cacheSource type="worksheet">
    <worksheetSource ref="A2:K12" sheet="GemtechUnsup"/>
  </cacheSource>
  <cacheFields count="11">
    <cacheField name="Group" numFmtId="0">
      <sharedItems containsSemiMixedTypes="0" containsString="0" containsNumber="1" containsInteger="1" minValue="1" maxValue="1" count="1">
        <n v="1"/>
      </sharedItems>
    </cacheField>
    <cacheField name="Distance" numFmtId="0">
      <sharedItems containsSemiMixedTypes="0" containsString="0" containsNumber="1" containsInteger="1" minValue="50" maxValue="50"/>
    </cacheField>
    <cacheField name="Point X" numFmtId="0">
      <sharedItems containsSemiMixedTypes="0" containsString="0" containsNumber="1" minValue="1.675" maxValue="2.9910000000000001"/>
    </cacheField>
    <cacheField name="Point Y" numFmtId="0">
      <sharedItems containsSemiMixedTypes="0" containsString="0" containsNumber="1" minValue="3.9140000000000001" maxValue="6.3470000000000004"/>
    </cacheField>
    <cacheField name="Point X2" numFmtId="0">
      <sharedItems containsSemiMixedTypes="0" containsString="0" containsNumber="1" minValue="3.1996179560649476" maxValue="5.7134670487106023"/>
    </cacheField>
    <cacheField name="Point Y2" numFmtId="0">
      <sharedItems containsSemiMixedTypes="0" containsString="0" containsNumber="1" minValue="7.4765998089780332" maxValue="12.124164278892074"/>
    </cacheField>
    <cacheField name="Center X" numFmtId="0">
      <sharedItems containsSemiMixedTypes="0" containsString="0" containsNumber="1" minValue="4.5900668576886341" maxValue="4.5900668576886341"/>
    </cacheField>
    <cacheField name="Center Y" numFmtId="0">
      <sharedItems containsSemiMixedTypes="0" containsString="0" containsNumber="1" minValue="9.2280802292263608" maxValue="9.2280802292263608"/>
    </cacheField>
    <cacheField name="Chart X" numFmtId="0">
      <sharedItems containsSemiMixedTypes="0" containsString="0" containsNumber="1" minValue="-1.3904489016236865" maxValue="1.1234001910219682"/>
    </cacheField>
    <cacheField name="Chart Y" numFmtId="0">
      <sharedItems containsSemiMixedTypes="0" containsString="0" containsNumber="1" minValue="-2.8960840496657134" maxValue="1.7514804202483276"/>
    </cacheField>
    <cacheField name="Radius^2" numFmtId="0">
      <sharedItems containsSemiMixedTypes="0" containsString="0" containsNumber="1" minValue="0.16443295028594035" maxValue="8.50434915239704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vid" refreshedDate="42983.481363888888" createdVersion="4" refreshedVersion="4" minRefreshableVersion="3" recordCount="20">
  <cacheSource type="worksheet">
    <worksheetSource ref="A2:K22" sheet="Eley25yd"/>
  </cacheSource>
  <cacheFields count="11">
    <cacheField name="Group" numFmtId="0">
      <sharedItems containsSemiMixedTypes="0" containsString="0" containsNumber="1" containsInteger="1" minValue="1" maxValue="1" count="1">
        <n v="1"/>
      </sharedItems>
    </cacheField>
    <cacheField name="Distance" numFmtId="0">
      <sharedItems containsSemiMixedTypes="0" containsString="0" containsNumber="1" containsInteger="1" minValue="25" maxValue="25"/>
    </cacheField>
    <cacheField name="Point X" numFmtId="0">
      <sharedItems containsSemiMixedTypes="0" containsString="0" containsNumber="1" minValue="3.35" maxValue="4.673"/>
    </cacheField>
    <cacheField name="Point Y" numFmtId="0">
      <sharedItems containsSemiMixedTypes="0" containsString="0" containsNumber="1" minValue="4.7939999999999996" maxValue="6.4539999999999997"/>
    </cacheField>
    <cacheField name="Point X2" numFmtId="0">
      <sharedItems containsSemiMixedTypes="0" containsString="0" containsNumber="1" minValue="12.79847182425979" maxValue="17.852913085004776"/>
    </cacheField>
    <cacheField name="Point Y2" numFmtId="0">
      <sharedItems containsSemiMixedTypes="0" containsString="0" containsNumber="1" minValue="18.315186246418339" maxValue="24.657115568290354"/>
    </cacheField>
    <cacheField name="Center X" numFmtId="0">
      <sharedItems containsSemiMixedTypes="0" containsString="0" containsNumber="1" minValue="15.184718242597899" maxValue="15.184718242597899"/>
    </cacheField>
    <cacheField name="Center Y" numFmtId="0">
      <sharedItems containsSemiMixedTypes="0" containsString="0" containsNumber="1" minValue="20.877745940783189" maxValue="20.877745940783189"/>
    </cacheField>
    <cacheField name="Chart X" numFmtId="0">
      <sharedItems containsSemiMixedTypes="0" containsString="0" containsNumber="1" minValue="-2.3862464183381089" maxValue="2.6681948424068764"/>
    </cacheField>
    <cacheField name="Chart Y" numFmtId="0">
      <sharedItems containsSemiMixedTypes="0" containsString="0" containsNumber="1" minValue="-3.7793696275071653" maxValue="2.5625596943648503"/>
    </cacheField>
    <cacheField name="Radius^2" numFmtId="0">
      <sharedItems containsSemiMixedTypes="0" containsString="0" containsNumber="1" minValue="0.20107731281170205" maxValue="17.4886580569946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avid" refreshedDate="42983.513684722224" createdVersion="4" refreshedVersion="4" minRefreshableVersion="3" recordCount="20">
  <cacheSource type="worksheet">
    <worksheetSource ref="A2:K22" sheet="SK+50yd"/>
  </cacheSource>
  <cacheFields count="11">
    <cacheField name="Group" numFmtId="0">
      <sharedItems containsSemiMixedTypes="0" containsString="0" containsNumber="1" containsInteger="1" minValue="1" maxValue="1" count="1">
        <n v="1"/>
      </sharedItems>
    </cacheField>
    <cacheField name="Distance" numFmtId="0">
      <sharedItems containsSemiMixedTypes="0" containsString="0" containsNumber="1" containsInteger="1" minValue="50" maxValue="50"/>
    </cacheField>
    <cacheField name="Point X" numFmtId="0">
      <sharedItems containsSemiMixedTypes="0" containsString="0" containsNumber="1" minValue="2.5920000000000001" maxValue="5.6909999999999998"/>
    </cacheField>
    <cacheField name="Point Y" numFmtId="0">
      <sharedItems containsSemiMixedTypes="0" containsString="0" containsNumber="1" minValue="3.7010000000000001" maxValue="6.4669999999999996"/>
    </cacheField>
    <cacheField name="Point X2" numFmtId="0">
      <sharedItems containsSemiMixedTypes="0" containsString="0" containsNumber="1" minValue="4.9512893982808031" maxValue="10.871060171919771"/>
    </cacheField>
    <cacheField name="Point Y2" numFmtId="0">
      <sharedItems containsSemiMixedTypes="0" containsString="0" containsNumber="1" minValue="7.0697230181470871" maxValue="12.353390639923591"/>
    </cacheField>
    <cacheField name="Center X" numFmtId="0">
      <sharedItems containsSemiMixedTypes="0" containsString="0" containsNumber="1" minValue="7.4844317096466089" maxValue="7.4844317096466089"/>
    </cacheField>
    <cacheField name="Center Y" numFmtId="0">
      <sharedItems containsSemiMixedTypes="0" containsString="0" containsNumber="1" minValue="10.236103151862466" maxValue="10.236103151862466"/>
    </cacheField>
    <cacheField name="Chart X" numFmtId="0">
      <sharedItems containsSemiMixedTypes="0" containsString="0" containsNumber="1" minValue="-2.5331423113658058" maxValue="3.3866284622731619"/>
    </cacheField>
    <cacheField name="Chart Y" numFmtId="0">
      <sharedItems containsSemiMixedTypes="0" containsString="0" containsNumber="1" minValue="-2.117287488061125" maxValue="3.1663801337153785"/>
    </cacheField>
    <cacheField name="Radius^2" numFmtId="0">
      <sharedItems containsSemiMixedTypes="0" containsString="0" containsNumber="1" minValue="0.48794479884766362" maxValue="21.4952154926660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avid" refreshedDate="42983.513845370369" createdVersion="4" refreshedVersion="4" minRefreshableVersion="3" recordCount="20">
  <cacheSource type="worksheet">
    <worksheetSource ref="A2:K22" sheet="SK+25yd"/>
  </cacheSource>
  <cacheFields count="11">
    <cacheField name="Group" numFmtId="0">
      <sharedItems containsSemiMixedTypes="0" containsString="0" containsNumber="1" containsInteger="1" minValue="1" maxValue="1" count="1">
        <n v="1"/>
      </sharedItems>
    </cacheField>
    <cacheField name="Distance" numFmtId="0">
      <sharedItems containsSemiMixedTypes="0" containsString="0" containsNumber="1" containsInteger="1" minValue="25" maxValue="25"/>
    </cacheField>
    <cacheField name="Point X" numFmtId="0">
      <sharedItems containsSemiMixedTypes="0" containsString="0" containsNumber="1" minValue="3.9060000000000001" maxValue="5.3230000000000004"/>
    </cacheField>
    <cacheField name="Point Y" numFmtId="0">
      <sharedItems containsSemiMixedTypes="0" containsString="0" containsNumber="1" minValue="4.569" maxValue="6.3719999999999999"/>
    </cacheField>
    <cacheField name="Point X2" numFmtId="0">
      <sharedItems containsSemiMixedTypes="0" containsString="0" containsNumber="1" minValue="14.922636103151865" maxValue="20.336198662846229"/>
    </cacheField>
    <cacheField name="Point Y2" numFmtId="0">
      <sharedItems containsSemiMixedTypes="0" containsString="0" containsNumber="1" minValue="17.455587392550143" maxValue="24.343839541547279"/>
    </cacheField>
    <cacheField name="Center X" numFmtId="0">
      <sharedItems containsSemiMixedTypes="0" containsString="0" containsNumber="1" minValue="17.820439350525312" maxValue="17.820439350525312"/>
    </cacheField>
    <cacheField name="Center Y" numFmtId="0">
      <sharedItems containsSemiMixedTypes="0" containsString="0" containsNumber="1" minValue="21.204584527220629" maxValue="21.204584527220629"/>
    </cacheField>
    <cacheField name="Chart X" numFmtId="0">
      <sharedItems containsSemiMixedTypes="0" containsString="0" containsNumber="1" minValue="-2.8978032473734476" maxValue="2.5157593123209168"/>
    </cacheField>
    <cacheField name="Chart Y" numFmtId="0">
      <sharedItems containsSemiMixedTypes="0" containsString="0" containsNumber="1" minValue="-3.1392550143266504" maxValue="3.7489971346704856"/>
    </cacheField>
    <cacheField name="Radius^2" numFmtId="0">
      <sharedItems containsSemiMixedTypes="0" containsString="0" containsNumber="1" minValue="5.3536360310852432E-2" maxValue="20.136597163497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avid" refreshedDate="42983.513976504626" createdVersion="4" refreshedVersion="4" minRefreshableVersion="3" recordCount="20">
  <cacheSource type="worksheet">
    <worksheetSource ref="A2:K22" sheet="Eley50yd"/>
  </cacheSource>
  <cacheFields count="11">
    <cacheField name="Group" numFmtId="0">
      <sharedItems containsSemiMixedTypes="0" containsString="0" containsNumber="1" containsInteger="1" minValue="1" maxValue="1" count="1">
        <n v="1"/>
      </sharedItems>
    </cacheField>
    <cacheField name="Distance" numFmtId="0">
      <sharedItems containsSemiMixedTypes="0" containsString="0" containsNumber="1" containsInteger="1" minValue="50" maxValue="50"/>
    </cacheField>
    <cacheField name="Point X" numFmtId="0">
      <sharedItems containsSemiMixedTypes="0" containsString="0" containsNumber="1" minValue="1.6910000000000001" maxValue="4.1120000000000001"/>
    </cacheField>
    <cacheField name="Point Y" numFmtId="0">
      <sharedItems containsSemiMixedTypes="0" containsString="0" containsNumber="1" minValue="3.1240000000000001" maxValue="6.4370000000000003"/>
    </cacheField>
    <cacheField name="Point X2" numFmtId="0">
      <sharedItems containsSemiMixedTypes="0" containsString="0" containsNumber="1" minValue="3.2301814708691503" maxValue="7.8548233046800391"/>
    </cacheField>
    <cacheField name="Point Y2" numFmtId="0">
      <sharedItems containsSemiMixedTypes="0" containsString="0" containsNumber="1" minValue="5.9675262655205357" maxValue="12.296084049665714"/>
    </cacheField>
    <cacheField name="Center X" numFmtId="0">
      <sharedItems containsSemiMixedTypes="0" containsString="0" containsNumber="1" minValue="5.4663801337153775" maxValue="5.4663801337153775"/>
    </cacheField>
    <cacheField name="Center Y" numFmtId="0">
      <sharedItems containsSemiMixedTypes="0" containsString="0" containsNumber="1" minValue="8.8775549188156653" maxValue="8.8775549188156653"/>
    </cacheField>
    <cacheField name="Chart X" numFmtId="0">
      <sharedItems containsSemiMixedTypes="0" containsString="0" containsNumber="1" minValue="-2.2361986628462271" maxValue="2.3884431709646616"/>
    </cacheField>
    <cacheField name="Chart Y" numFmtId="0">
      <sharedItems containsSemiMixedTypes="0" containsString="0" containsNumber="1" minValue="-3.4185291308500485" maxValue="2.9100286532951296"/>
    </cacheField>
    <cacheField name="Radius^2" numFmtId="0">
      <sharedItems containsSemiMixedTypes="0" containsString="0" containsNumber="1" minValue="1.5454653264112668E-2" maxValue="16.686925878185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David" refreshedDate="42983.514267939812" createdVersion="4" refreshedVersion="4" minRefreshableVersion="3" recordCount="27">
  <cacheSource type="worksheet">
    <worksheetSource ref="A2:K29" sheet="Gemtech25yd"/>
  </cacheSource>
  <cacheFields count="11">
    <cacheField name="Group" numFmtId="0">
      <sharedItems containsSemiMixedTypes="0" containsString="0" containsNumber="1" containsInteger="1" minValue="1" maxValue="2" count="2">
        <n v="1"/>
        <n v="2"/>
      </sharedItems>
    </cacheField>
    <cacheField name="Distance" numFmtId="0">
      <sharedItems containsSemiMixedTypes="0" containsString="0" containsNumber="1" containsInteger="1" minValue="25" maxValue="25"/>
    </cacheField>
    <cacheField name="Point X" numFmtId="0">
      <sharedItems containsSemiMixedTypes="0" containsString="0" containsNumber="1" minValue="3.8530000000000002" maxValue="6.5839999999999996"/>
    </cacheField>
    <cacheField name="Point Y" numFmtId="0">
      <sharedItems containsSemiMixedTypes="0" containsString="0" containsNumber="1" minValue="1.7410000000000001" maxValue="5.2270000000000003"/>
    </cacheField>
    <cacheField name="Point X2" numFmtId="0">
      <sharedItems containsSemiMixedTypes="0" containsString="0" containsNumber="1" minValue="14.720152817574023" maxValue="25.153772683858644"/>
    </cacheField>
    <cacheField name="Point Y2" numFmtId="0">
      <sharedItems containsSemiMixedTypes="0" containsString="0" containsNumber="1" minValue="6.651384909264566" maxValue="19.9694364851958"/>
    </cacheField>
    <cacheField name="Center X" numFmtId="0">
      <sharedItems containsSemiMixedTypes="0" containsString="0" containsNumber="1" minValue="16.319388729703917" maxValue="21.37783021518063"/>
    </cacheField>
    <cacheField name="Center Y" numFmtId="0">
      <sharedItems containsSemiMixedTypes="0" containsString="0" containsNumber="1" minValue="8.471711893926626" maxValue="18.322827125119392"/>
    </cacheField>
    <cacheField name="Chart X" numFmtId="0">
      <sharedItems containsSemiMixedTypes="0" containsString="0" containsNumber="1" minValue="-3.9642676554862639" maxValue="3.7759424686780143"/>
    </cacheField>
    <cacheField name="Chart Y" numFmtId="0">
      <sharedItems containsSemiMixedTypes="0" containsString="0" containsNumber="1" minValue="-1.8969605033990664" maxValue="1.82032698466206"/>
    </cacheField>
    <cacheField name="Radius^2" numFmtId="0">
      <sharedItems containsSemiMixedTypes="0" containsString="0" containsNumber="1" minValue="0.19893958177683177" maxValue="16.5042103187196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David" refreshedDate="42983.514397800929" createdVersion="4" refreshedVersion="4" minRefreshableVersion="3" recordCount="40">
  <cacheSource type="worksheet">
    <worksheetSource ref="A2:K42" sheet="Champion25yd"/>
  </cacheSource>
  <cacheFields count="11">
    <cacheField name="Group" numFmtId="0">
      <sharedItems containsSemiMixedTypes="0" containsString="0" containsNumber="1" containsInteger="1" minValue="1" maxValue="2" count="2">
        <n v="1"/>
        <n v="2"/>
      </sharedItems>
    </cacheField>
    <cacheField name="Distance" numFmtId="0">
      <sharedItems containsSemiMixedTypes="0" containsString="0" containsNumber="1" containsInteger="1" minValue="25" maxValue="25"/>
    </cacheField>
    <cacheField name="Point X" numFmtId="0">
      <sharedItems containsSemiMixedTypes="0" containsString="0" containsNumber="1" minValue="1.4750000000000001" maxValue="6.5640000000000001"/>
    </cacheField>
    <cacheField name="Point Y" numFmtId="0">
      <sharedItems containsSemiMixedTypes="0" containsString="0" containsNumber="1" minValue="2.1120000000000001" maxValue="9.1609999999999996"/>
    </cacheField>
    <cacheField name="Point X2" numFmtId="0">
      <sharedItems containsSemiMixedTypes="0" containsString="0" containsNumber="1" minValue="5.6351480420248334" maxValue="25.077363896848141"/>
    </cacheField>
    <cacheField name="Point Y2" numFmtId="0">
      <sharedItems containsSemiMixedTypes="0" containsString="0" containsNumber="1" minValue="8.0687679083094572" maxValue="34.999044890162367"/>
    </cacheField>
    <cacheField name="Center X" numFmtId="0">
      <sharedItems containsSemiMixedTypes="0" containsString="0" containsNumber="1" minValue="16.485195797516713" maxValue="20.917669531996182"/>
    </cacheField>
    <cacheField name="Center Y" numFmtId="0">
      <sharedItems containsSemiMixedTypes="0" containsString="0" containsNumber="1" minValue="14.774021012416428" maxValue="29.217574021012418"/>
    </cacheField>
    <cacheField name="Chart X" numFmtId="0">
      <sharedItems containsSemiMixedTypes="0" containsString="0" containsNumber="1" minValue="-10.850047755491879" maxValue="6.3113658070678156"/>
    </cacheField>
    <cacheField name="Chart Y" numFmtId="0">
      <sharedItems containsSemiMixedTypes="0" containsString="0" containsNumber="1" minValue="-5.781470869149949" maxValue="6.705253104106971"/>
    </cacheField>
    <cacheField name="Radius^2" numFmtId="0">
      <sharedItems containsSemiMixedTypes="0" containsString="0" containsNumber="1" minValue="0.93715282395966348" maxValue="117.842024796366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David" refreshedDate="42998.485853472223" createdVersion="4" refreshedVersion="4" minRefreshableVersion="3" recordCount="30">
  <cacheSource type="worksheet">
    <worksheetSource ref="A2:K32" sheet="CCISVunsup"/>
  </cacheSource>
  <cacheFields count="11">
    <cacheField name="Group" numFmtId="0">
      <sharedItems containsSemiMixedTypes="0" containsString="0" containsNumber="1" containsInteger="1" minValue="1" maxValue="3" count="3">
        <n v="1"/>
        <n v="2"/>
        <n v="3"/>
      </sharedItems>
    </cacheField>
    <cacheField name="Distance" numFmtId="0">
      <sharedItems containsSemiMixedTypes="0" containsString="0" containsNumber="1" containsInteger="1" minValue="50" maxValue="50"/>
    </cacheField>
    <cacheField name="Point X" numFmtId="0">
      <sharedItems containsSemiMixedTypes="0" containsString="0" containsNumber="1" minValue="1.3029999999999999" maxValue="6.8140000000000001"/>
    </cacheField>
    <cacheField name="Point Y" numFmtId="0">
      <sharedItems containsSemiMixedTypes="0" containsString="0" containsNumber="1" minValue="1.823" maxValue="8.2530000000000001"/>
    </cacheField>
    <cacheField name="Point X2" numFmtId="0">
      <sharedItems containsSemiMixedTypes="0" containsString="0" containsNumber="1" minValue="2.4890162368672399" maxValue="13.016236867239733"/>
    </cacheField>
    <cacheField name="Point Y2" numFmtId="0">
      <sharedItems containsSemiMixedTypes="0" containsString="0" containsNumber="1" minValue="3.4823304680038207" maxValue="15.765042979942695"/>
    </cacheField>
    <cacheField name="Center X" numFmtId="0">
      <sharedItems containsSemiMixedTypes="0" containsString="0" containsNumber="1" minValue="4.1212989493791783" maxValue="11.352435530085959"/>
    </cacheField>
    <cacheField name="Center Y" numFmtId="0">
      <sharedItems containsSemiMixedTypes="0" containsString="0" containsNumber="1" minValue="5.6481375358166188" maxValue="13.707736389684815"/>
    </cacheField>
    <cacheField name="Chart X" numFmtId="0">
      <sharedItems containsSemiMixedTypes="0" containsString="0" containsNumber="1" minValue="-1.6322827125119383" maxValue="2.0769818529130859"/>
    </cacheField>
    <cacheField name="Chart Y" numFmtId="0">
      <sharedItems containsSemiMixedTypes="0" containsString="0" containsNumber="1" minValue="-2.0573065902578804" maxValue="2.1658070678127981"/>
    </cacheField>
    <cacheField name="Radius^2" numFmtId="0">
      <sharedItems containsSemiMixedTypes="0" containsString="0" containsNumber="1" minValue="2.7472863295229126E-2" maxValue="4.83966666940336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David" refreshedDate="42998.490612268521" createdVersion="4" refreshedVersion="4" minRefreshableVersion="3" recordCount="20">
  <cacheSource type="worksheet">
    <worksheetSource ref="A2:K22" sheet="EleyClubUnsup"/>
  </cacheSource>
  <cacheFields count="11">
    <cacheField name="Group" numFmtId="0">
      <sharedItems containsSemiMixedTypes="0" containsString="0" containsNumber="1" containsInteger="1" minValue="1" maxValue="2" count="2">
        <n v="1"/>
        <n v="2"/>
      </sharedItems>
    </cacheField>
    <cacheField name="Distance" numFmtId="0">
      <sharedItems containsSemiMixedTypes="0" containsString="0" containsNumber="1" containsInteger="1" minValue="50" maxValue="50"/>
    </cacheField>
    <cacheField name="Point X" numFmtId="0">
      <sharedItems containsSemiMixedTypes="0" containsString="0" containsNumber="1" minValue="1.4530000000000001" maxValue="6.0129999999999999"/>
    </cacheField>
    <cacheField name="Point Y" numFmtId="0">
      <sharedItems containsSemiMixedTypes="0" containsString="0" containsNumber="1" minValue="1.8260000000000001" maxValue="5.1139999999999999"/>
    </cacheField>
    <cacheField name="Point X2" numFmtId="0">
      <sharedItems containsSemiMixedTypes="0" containsString="0" containsNumber="1" minValue="2.7755491881566385" maxValue="11.486150907354347"/>
    </cacheField>
    <cacheField name="Point Y2" numFmtId="0">
      <sharedItems containsSemiMixedTypes="0" containsString="0" containsNumber="1" minValue="3.4880611270296087" maxValue="9.7688634192932184"/>
    </cacheField>
    <cacheField name="Center X" numFmtId="0">
      <sharedItems containsSemiMixedTypes="0" containsString="0" containsNumber="1" minValue="3.6918815663801339" maxValue="10.315568290353394"/>
    </cacheField>
    <cacheField name="Center Y" numFmtId="0">
      <sharedItems containsSemiMixedTypes="0" containsString="0" containsNumber="1" minValue="6.0227316141356262" maxValue="8.299522445081184"/>
    </cacheField>
    <cacheField name="Chart X" numFmtId="0">
      <sharedItems containsSemiMixedTypes="0" containsString="0" containsNumber="1" minValue="-0.91633237822349534" maxValue="1.2288443170964665"/>
    </cacheField>
    <cacheField name="Chart Y" numFmtId="0">
      <sharedItems containsSemiMixedTypes="0" containsString="0" containsNumber="1" minValue="-1.6028653295128938" maxValue="2.5346704871060175"/>
    </cacheField>
    <cacheField name="Radius^2" numFmtId="0">
      <sharedItems containsSemiMixedTypes="0" containsString="0" containsNumber="1" minValue="3.6081002801473791E-2" maxValue="6.5037265703894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x v="0"/>
    <n v="25"/>
    <n v="3.9969999999999999"/>
    <n v="4.8140000000000001"/>
    <n v="15.270296084049667"/>
    <n v="18.391595033428846"/>
    <n v="19.627583572110794"/>
    <n v="23.904336198662847"/>
    <n v="-4.357287488061127"/>
    <n v="5.5127411652340008"/>
    <n v="49.376269408479573"/>
  </r>
  <r>
    <x v="0"/>
    <n v="25"/>
    <n v="5.4539999999999997"/>
    <n v="5.109"/>
    <n v="20.836676217765042"/>
    <n v="19.518624641833814"/>
    <n v="19.627583572110794"/>
    <n v="23.904336198662847"/>
    <n v="1.2090926456542483"/>
    <n v="4.3857115568290332"/>
    <n v="20.696370885478935"/>
  </r>
  <r>
    <x v="0"/>
    <n v="25"/>
    <n v="4.8819999999999997"/>
    <n v="5.3659999999999997"/>
    <n v="18.651384909264564"/>
    <n v="20.500477554918817"/>
    <n v="19.627583572110794"/>
    <n v="23.904336198662847"/>
    <n v="-0.97619866284622958"/>
    <n v="3.4038586437440301"/>
    <n v="12.539217495933716"/>
  </r>
  <r>
    <x v="0"/>
    <n v="25"/>
    <n v="5.7389999999999999"/>
    <n v="5.7279999999999998"/>
    <n v="21.925501432664756"/>
    <n v="21.883476599808979"/>
    <n v="19.627583572110794"/>
    <n v="23.904336198662847"/>
    <n v="2.2979178605539623"/>
    <n v="2.0208595988538676"/>
    <n v="9.3643000121327127"/>
  </r>
  <r>
    <x v="0"/>
    <n v="25"/>
    <n v="5.8819999999999997"/>
    <n v="5.851"/>
    <n v="22.471824259789877"/>
    <n v="22.353390639923592"/>
    <n v="19.627583572110794"/>
    <n v="23.904336198662847"/>
    <n v="2.8442406876790827"/>
    <n v="1.5509455587392544"/>
    <n v="10.495137215622199"/>
  </r>
  <r>
    <x v="0"/>
    <n v="25"/>
    <n v="5.2160000000000002"/>
    <n v="5.69"/>
    <n v="19.92741165234002"/>
    <n v="21.738299904489018"/>
    <n v="19.627583572110794"/>
    <n v="23.904336198662847"/>
    <n v="0.29982808022922569"/>
    <n v="2.1660362941738285"/>
    <n v="4.7816101053722351"/>
  </r>
  <r>
    <x v="0"/>
    <n v="25"/>
    <n v="5.3010000000000002"/>
    <n v="5.8129999999999997"/>
    <n v="20.252148997134672"/>
    <n v="22.208213944603632"/>
    <n v="19.627583572110794"/>
    <n v="23.904336198662847"/>
    <n v="0.62456542502387791"/>
    <n v="1.6961222540592154"/>
    <n v="3.266912670850171"/>
  </r>
  <r>
    <x v="0"/>
    <n v="25"/>
    <n v="5.0250000000000004"/>
    <n v="5.984"/>
    <n v="19.197707736389688"/>
    <n v="22.861509073543459"/>
    <n v="19.627583572110794"/>
    <n v="23.904336198662847"/>
    <n v="-0.42987583572110566"/>
    <n v="1.0428271251193877"/>
    <n v="1.272281647021686"/>
  </r>
  <r>
    <x v="0"/>
    <n v="25"/>
    <n v="5.6440000000000001"/>
    <n v="6.2220000000000004"/>
    <n v="21.562559694364854"/>
    <n v="23.770773638968485"/>
    <n v="19.627583572110794"/>
    <n v="23.904336198662847"/>
    <n v="1.93497612225406"/>
    <n v="0.13356255969436148"/>
    <n v="3.7619715510454688"/>
  </r>
  <r>
    <x v="0"/>
    <n v="25"/>
    <n v="5.7009999999999996"/>
    <n v="6.194"/>
    <n v="21.780324737344795"/>
    <n v="23.663801337153775"/>
    <n v="19.627583572110794"/>
    <n v="23.904336198662847"/>
    <n v="2.1527411652340014"/>
    <n v="0.24053486150907233"/>
    <n v="4.6921515440942345"/>
  </r>
  <r>
    <x v="0"/>
    <n v="25"/>
    <n v="5.72"/>
    <n v="6.4889999999999999"/>
    <n v="21.852913085004776"/>
    <n v="24.790830945558742"/>
    <n v="19.627583572110794"/>
    <n v="23.904336198662847"/>
    <n v="2.2253295128939818"/>
    <n v="-0.88649474689589525"/>
    <n v="5.7379643772309841"/>
  </r>
  <r>
    <x v="0"/>
    <n v="25"/>
    <n v="5.4160000000000004"/>
    <n v="6.5650000000000004"/>
    <n v="20.691499522445085"/>
    <n v="25.081184336198667"/>
    <n v="19.627583572110794"/>
    <n v="23.904336198662847"/>
    <n v="1.063915950334291"/>
    <n v="-1.1768481375358206"/>
    <n v="2.5168886881972474"/>
  </r>
  <r>
    <x v="0"/>
    <n v="25"/>
    <n v="5.3010000000000002"/>
    <n v="6.5650000000000004"/>
    <n v="20.252148997134672"/>
    <n v="25.081184336198667"/>
    <n v="19.627583572110794"/>
    <n v="23.904336198662847"/>
    <n v="0.62456542502387791"/>
    <n v="-1.1768481375358206"/>
    <n v="1.7750535089567872"/>
  </r>
  <r>
    <x v="0"/>
    <n v="25"/>
    <n v="5.2249999999999996"/>
    <n v="6.46"/>
    <n v="19.961795606494746"/>
    <n v="24.680038204393508"/>
    <n v="19.627583572110794"/>
    <n v="23.904336198662847"/>
    <n v="0.33421203438395253"/>
    <n v="-0.77570200573066117"/>
    <n v="0.71341128562163092"/>
  </r>
  <r>
    <x v="0"/>
    <n v="25"/>
    <n v="5.2629999999999999"/>
    <n v="6.8220000000000001"/>
    <n v="20.106972301814711"/>
    <n v="26.063037249283671"/>
    <n v="19.627583572110794"/>
    <n v="23.904336198662847"/>
    <n v="0.47938872970391699"/>
    <n v="-2.1587010506208237"/>
    <n v="4.8898037801185836"/>
  </r>
  <r>
    <x v="0"/>
    <n v="25"/>
    <n v="5.5289999999999999"/>
    <n v="6.9640000000000004"/>
    <n v="21.123209169054441"/>
    <n v="26.605539637058264"/>
    <n v="19.627583572110794"/>
    <n v="23.904336198662847"/>
    <n v="1.4956255969436469"/>
    <n v="-2.7012034383954173"/>
    <n v="9.5333959418322642"/>
  </r>
  <r>
    <x v="0"/>
    <n v="25"/>
    <n v="5.492"/>
    <n v="7.1449999999999996"/>
    <n v="20.981852913085007"/>
    <n v="27.297039159503342"/>
    <n v="19.627583572110794"/>
    <n v="23.904336198662847"/>
    <n v="1.3542693409742128"/>
    <n v="-3.3927029608404951"/>
    <n v="13.344478828398589"/>
  </r>
  <r>
    <x v="0"/>
    <n v="25"/>
    <n v="4.7869999999999999"/>
    <n v="7.1360000000000001"/>
    <n v="18.288443170964662"/>
    <n v="27.262655205348619"/>
    <n v="19.627583572110794"/>
    <n v="23.904336198662847"/>
    <n v="-1.3391404011461319"/>
    <n v="-3.3583190066857718"/>
    <n v="13.071603564648731"/>
  </r>
  <r>
    <x v="0"/>
    <n v="25"/>
    <n v="4.5590000000000002"/>
    <n v="7.3360000000000003"/>
    <n v="17.417382999044893"/>
    <n v="28.02674307545368"/>
    <n v="19.627583572110794"/>
    <n v="23.904336198662847"/>
    <n v="-2.2102005730659009"/>
    <n v="-4.1224068767908335"/>
    <n v="21.87922503099319"/>
  </r>
  <r>
    <x v="0"/>
    <n v="25"/>
    <n v="4.0359999999999996"/>
    <n v="7.43"/>
    <n v="15.419293218720153"/>
    <n v="28.385864374403056"/>
    <n v="19.627583572110794"/>
    <n v="23.904336198662847"/>
    <n v="-4.2082903533906411"/>
    <n v="-4.481528175740209"/>
    <n v="37.793802488394093"/>
  </r>
  <r>
    <x v="0"/>
    <n v="25"/>
    <n v="4.53"/>
    <n v="6.1470000000000002"/>
    <n v="17.306590257879659"/>
    <n v="23.484240687679087"/>
    <n v="19.627583572110794"/>
    <n v="23.904336198662847"/>
    <n v="-2.320993314231135"/>
    <n v="0.42009551098376008"/>
    <n v="5.5634902030543349"/>
  </r>
  <r>
    <x v="0"/>
    <n v="25"/>
    <n v="4.8440000000000003"/>
    <n v="6.4029999999999996"/>
    <n v="18.506208213944607"/>
    <n v="24.462273161413563"/>
    <n v="19.627583572110794"/>
    <n v="23.904336198662847"/>
    <n v="-1.1213753581661869"/>
    <n v="-0.55793696275071625"/>
    <n v="1.5687763483058381"/>
  </r>
  <r>
    <x v="0"/>
    <n v="25"/>
    <n v="4.625"/>
    <n v="6.3170000000000002"/>
    <n v="17.669531996179561"/>
    <n v="24.133715377268388"/>
    <n v="19.627583572110794"/>
    <n v="23.904336198662847"/>
    <n v="-1.9580515759312327"/>
    <n v="-0.2293791786055408"/>
    <n v="3.8865807815845361"/>
  </r>
  <r>
    <x v="0"/>
    <n v="25"/>
    <n v="4.5780000000000003"/>
    <n v="6.1840000000000002"/>
    <n v="17.489971346704873"/>
    <n v="23.625596943648521"/>
    <n v="19.627583572110794"/>
    <n v="23.904336198662847"/>
    <n v="-2.1376122254059204"/>
    <n v="0.27873925501432595"/>
    <n v="4.6470815984907929"/>
  </r>
  <r>
    <x v="0"/>
    <n v="25"/>
    <n v="5.6920000000000002"/>
    <n v="5.69"/>
    <n v="21.745940783190068"/>
    <n v="21.738299904489018"/>
    <n v="19.627583572110794"/>
    <n v="23.904336198662847"/>
    <n v="2.1183572110792745"/>
    <n v="2.1660362941738285"/>
    <n v="9.179150501409854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10">
  <r>
    <x v="0"/>
    <n v="50"/>
    <n v="2.9910000000000001"/>
    <n v="3.95"/>
    <n v="5.7134670487106023"/>
    <n v="7.5453677172874887"/>
    <n v="4.5900668576886341"/>
    <n v="9.2280802292263608"/>
    <n v="1.1234001910219682"/>
    <n v="1.6827125119388722"/>
    <n v="4.093549387023824"/>
  </r>
  <r>
    <x v="0"/>
    <n v="50"/>
    <n v="2.8170000000000002"/>
    <n v="3.9140000000000001"/>
    <n v="5.3810888252149001"/>
    <n v="7.4765998089780332"/>
    <n v="4.5900668576886341"/>
    <n v="9.2280802292263608"/>
    <n v="0.79102196752626597"/>
    <n v="1.7514804202483276"/>
    <n v="3.6933994156223831"/>
  </r>
  <r>
    <x v="0"/>
    <n v="50"/>
    <n v="2.6779999999999999"/>
    <n v="4.0369999999999999"/>
    <n v="5.1155682903533908"/>
    <n v="7.7115568290353398"/>
    <n v="4.5900668576886341"/>
    <n v="9.2280802292263608"/>
    <n v="0.52550143266475668"/>
    <n v="1.5165234001910211"/>
    <n v="2.5759949790596472"/>
  </r>
  <r>
    <x v="0"/>
    <n v="50"/>
    <n v="1.84"/>
    <n v="4.2290000000000001"/>
    <n v="3.514804202483286"/>
    <n v="8.0783190066857689"/>
    <n v="4.5900668576886341"/>
    <n v="9.2280802292263608"/>
    <n v="-1.0752626552053481"/>
    <n v="1.149761222540592"/>
    <n v="2.4781406465372919"/>
  </r>
  <r>
    <x v="0"/>
    <n v="50"/>
    <n v="1.675"/>
    <n v="4.1929999999999996"/>
    <n v="3.1996179560649476"/>
    <n v="8.0095510983763134"/>
    <n v="4.5900668576886341"/>
    <n v="9.2280802292263608"/>
    <n v="-1.3904489016236865"/>
    <n v="1.2185291308500474"/>
    <n v="3.4181613907566883"/>
  </r>
  <r>
    <x v="0"/>
    <n v="50"/>
    <n v="1.91"/>
    <n v="5.2130000000000001"/>
    <n v="3.6485195797516714"/>
    <n v="9.9579751671442231"/>
    <n v="4.5900668576886341"/>
    <n v="9.2280802292263608"/>
    <n v="-0.94154727793696269"/>
    <n v="-0.72989493791786231"/>
    <n v="1.4192578969886243"/>
  </r>
  <r>
    <x v="0"/>
    <n v="50"/>
    <n v="2.512"/>
    <n v="5.0129999999999999"/>
    <n v="4.7984718242597904"/>
    <n v="9.5759312320916905"/>
    <n v="4.5900668576886341"/>
    <n v="9.2280802292263608"/>
    <n v="0.20840496657115626"/>
    <n v="-0.34785100286532966"/>
    <n v="0.16443295028594035"/>
  </r>
  <r>
    <x v="0"/>
    <n v="50"/>
    <n v="2.5379999999999998"/>
    <n v="5.3879999999999999"/>
    <n v="4.848137535816619"/>
    <n v="10.292263610315187"/>
    <n v="4.5900668576886341"/>
    <n v="9.2280802292263608"/>
    <n v="0.2580706781279849"/>
    <n v="-1.0641833810888262"/>
    <n v="1.1990867434950838"/>
  </r>
  <r>
    <x v="0"/>
    <n v="50"/>
    <n v="2.4860000000000002"/>
    <n v="6.0250000000000004"/>
    <n v="4.7488061127029617"/>
    <n v="11.509073543457498"/>
    <n v="4.5900668576886341"/>
    <n v="9.2280802292263608"/>
    <n v="0.15873925501432762"/>
    <n v="-2.2809933142311376"/>
    <n v="5.2281286506496523"/>
  </r>
  <r>
    <x v="0"/>
    <n v="50"/>
    <n v="2.5819999999999999"/>
    <n v="6.3470000000000004"/>
    <n v="4.9321872015281754"/>
    <n v="12.124164278892074"/>
    <n v="4.5900668576886341"/>
    <n v="9.2280802292263608"/>
    <n v="0.34212034383954126"/>
    <n v="-2.8960840496657134"/>
    <n v="8.504349152397043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">
  <r>
    <x v="0"/>
    <n v="25"/>
    <n v="3.8730000000000002"/>
    <n v="4.7939999999999996"/>
    <n v="14.796561604584529"/>
    <n v="18.315186246418339"/>
    <n v="15.184718242597899"/>
    <n v="20.877745940783189"/>
    <n v="-0.38815663801337053"/>
    <n v="2.5625596943648503"/>
    <n v="6.7173777628171178"/>
  </r>
  <r>
    <x v="0"/>
    <n v="25"/>
    <n v="4.157"/>
    <n v="4.9420000000000002"/>
    <n v="15.881566380133716"/>
    <n v="18.880611270296086"/>
    <n v="15.184718242597899"/>
    <n v="20.877745940783189"/>
    <n v="0.69684813753581665"/>
    <n v="1.9971346704871031"/>
    <n v="4.4741442188487666"/>
  </r>
  <r>
    <x v="0"/>
    <n v="25"/>
    <n v="4.49"/>
    <n v="5.2610000000000001"/>
    <n v="17.153772683858644"/>
    <n v="20.099331423113661"/>
    <n v="15.184718242597899"/>
    <n v="20.877745940783189"/>
    <n v="1.9690544412607451"/>
    <n v="0.77841451766952829"/>
    <n v="4.4831045539673493"/>
  </r>
  <r>
    <x v="0"/>
    <n v="25"/>
    <n v="4.6390000000000002"/>
    <n v="5.41"/>
    <n v="17.723018147086918"/>
    <n v="20.668576886341931"/>
    <n v="15.184718242597899"/>
    <n v="20.877745940783189"/>
    <n v="2.5382999044890191"/>
    <n v="0.20916905444125788"/>
    <n v="6.486718098464813"/>
  </r>
  <r>
    <x v="0"/>
    <n v="25"/>
    <n v="4.673"/>
    <n v="5.5590000000000002"/>
    <n v="17.852913085004776"/>
    <n v="21.237822349570202"/>
    <n v="15.184718242597899"/>
    <n v="20.877745940783189"/>
    <n v="2.6681948424068764"/>
    <n v="-0.36007640878701253"/>
    <n v="7.248918737211608"/>
  </r>
  <r>
    <x v="0"/>
    <n v="25"/>
    <n v="3.9540000000000002"/>
    <n v="5.1180000000000003"/>
    <n v="15.106017191977079"/>
    <n v="19.55300859598854"/>
    <n v="15.184718242597899"/>
    <n v="20.877745940783189"/>
    <n v="-7.8701050620820112E-2"/>
    <n v="1.3247373447946487"/>
    <n v="1.7611228880623968"/>
  </r>
  <r>
    <x v="0"/>
    <n v="25"/>
    <n v="3.7639999999999998"/>
    <n v="5.18"/>
    <n v="14.380133715377269"/>
    <n v="19.789875835721109"/>
    <n v="15.184718242597899"/>
    <n v="20.877745940783189"/>
    <n v="-0.80458452722063001"/>
    <n v="1.0878701050620805"/>
    <n v="1.8308176269306269"/>
  </r>
  <r>
    <x v="0"/>
    <n v="25"/>
    <n v="3.6419999999999999"/>
    <n v="5.1180000000000003"/>
    <n v="13.914040114613181"/>
    <n v="19.55300859598854"/>
    <n v="15.184718242597899"/>
    <n v="20.877745940783189"/>
    <n v="-1.2706781279847181"/>
    <n v="1.3247373447946487"/>
    <n v="3.3695519376323233"/>
  </r>
  <r>
    <x v="0"/>
    <n v="25"/>
    <n v="3.5609999999999999"/>
    <n v="5.03"/>
    <n v="13.604584527220631"/>
    <n v="19.216809933142315"/>
    <n v="15.184718242597899"/>
    <n v="20.877745940783189"/>
    <n v="-1.5801337153772685"/>
    <n v="1.6609360076408741"/>
    <n v="5.2555309799499765"/>
  </r>
  <r>
    <x v="0"/>
    <n v="25"/>
    <n v="3.4249999999999998"/>
    <n v="5.194"/>
    <n v="13.085004775549189"/>
    <n v="19.843361986628462"/>
    <n v="15.184718242597899"/>
    <n v="20.877745940783189"/>
    <n v="-2.0997134670487103"/>
    <n v="1.0343839541547268"/>
    <n v="5.4787468083184834"/>
  </r>
  <r>
    <x v="0"/>
    <n v="25"/>
    <n v="3.35"/>
    <n v="5.4240000000000004"/>
    <n v="12.79847182425979"/>
    <n v="20.722063037249285"/>
    <n v="15.184718242597899"/>
    <n v="20.877745940783189"/>
    <n v="-2.3862464183381089"/>
    <n v="0.15568290353390424"/>
    <n v="5.7184091354842002"/>
  </r>
  <r>
    <x v="0"/>
    <n v="25"/>
    <n v="3.75"/>
    <n v="5.6280000000000001"/>
    <n v="14.326647564469916"/>
    <n v="21.50143266475645"/>
    <n v="15.184718242597899"/>
    <n v="20.877745940783189"/>
    <n v="-0.85807067812798365"/>
    <n v="-0.62368672397326108"/>
    <n v="1.1252704183235165"/>
  </r>
  <r>
    <x v="0"/>
    <n v="25"/>
    <n v="3.4249999999999998"/>
    <n v="5.9459999999999997"/>
    <n v="13.085004775549189"/>
    <n v="22.716332378223495"/>
    <n v="15.184718242597899"/>
    <n v="20.877745940783189"/>
    <n v="-2.0997134670487103"/>
    <n v="-1.8385864374403056"/>
    <n v="7.7891967316451503"/>
  </r>
  <r>
    <x v="0"/>
    <n v="25"/>
    <n v="3.5059999999999998"/>
    <n v="6.4539999999999997"/>
    <n v="13.394460362941738"/>
    <n v="24.657115568290354"/>
    <n v="15.184718242597899"/>
    <n v="20.877745940783189"/>
    <n v="-1.7902578796561617"/>
    <n v="-3.7793696275071653"/>
    <n v="17.488658056994627"/>
  </r>
  <r>
    <x v="0"/>
    <n v="25"/>
    <n v="4.4089999999999998"/>
    <n v="5.8849999999999998"/>
    <n v="16.844317096466092"/>
    <n v="22.483285577841453"/>
    <n v="15.184718242597899"/>
    <n v="20.877745940783189"/>
    <n v="1.6595988538681929"/>
    <n v="-1.6055396370582642"/>
    <n v="5.3320258819258024"/>
  </r>
  <r>
    <x v="0"/>
    <n v="25"/>
    <n v="4.1840000000000002"/>
    <n v="5.9660000000000002"/>
    <n v="15.9847182425979"/>
    <n v="22.792741165234006"/>
    <n v="15.184718242597899"/>
    <n v="20.877745940783189"/>
    <n v="0.80000000000000071"/>
    <n v="-1.9149952244508164"/>
    <n v="4.3072067096694342"/>
  </r>
  <r>
    <x v="0"/>
    <n v="25"/>
    <n v="4.0890000000000004"/>
    <n v="5.4909999999999997"/>
    <n v="15.621776504297998"/>
    <n v="20.97803247373448"/>
    <n v="15.184718242597899"/>
    <n v="20.877745940783189"/>
    <n v="0.43705826170009843"/>
    <n v="-0.10028653295129075"/>
    <n v="0.20107731281170205"/>
  </r>
  <r>
    <x v="0"/>
    <n v="25"/>
    <n v="4.157"/>
    <n v="5.4909999999999997"/>
    <n v="15.881566380133716"/>
    <n v="20.97803247373448"/>
    <n v="15.184718242597899"/>
    <n v="20.877745940783189"/>
    <n v="0.69684813753581665"/>
    <n v="-0.10028653295129075"/>
    <n v="0.49565471547852674"/>
  </r>
  <r>
    <x v="0"/>
    <n v="25"/>
    <n v="4.28"/>
    <n v="5.6680000000000001"/>
    <n v="16.351480420248329"/>
    <n v="21.654250238777461"/>
    <n v="15.184718242597899"/>
    <n v="20.877745940783189"/>
    <n v="1.1667621776504298"/>
    <n v="-0.77650429799427201"/>
    <n v="1.9642929039991501"/>
  </r>
  <r>
    <x v="0"/>
    <n v="25"/>
    <n v="4.1639999999999997"/>
    <n v="5.7359999999999998"/>
    <n v="15.908309455587393"/>
    <n v="21.914040114613179"/>
    <n v="15.184718242597899"/>
    <n v="20.877745940783189"/>
    <n v="0.72359121298949347"/>
    <n v="-1.0362941738299902"/>
    <n v="1.597489858229588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">
  <r>
    <x v="0"/>
    <n v="50"/>
    <n v="5.6909999999999998"/>
    <n v="3.7010000000000001"/>
    <n v="10.871060171919771"/>
    <n v="7.0697230181470871"/>
    <n v="7.4844317096466089"/>
    <n v="10.236103151862466"/>
    <n v="3.3866284622731619"/>
    <n v="3.1663801337153785"/>
    <n v="21.495215492666098"/>
  </r>
  <r>
    <x v="0"/>
    <n v="50"/>
    <n v="3.2480000000000002"/>
    <n v="4.181"/>
    <n v="6.2043935052531047"/>
    <n v="7.9866284622731625"/>
    <n v="7.4844317096466089"/>
    <n v="10.236103151862466"/>
    <n v="-1.2800382043935041"/>
    <n v="2.2494746895893032"/>
    <n v="6.6986341838098387"/>
  </r>
  <r>
    <x v="0"/>
    <n v="50"/>
    <n v="3.58"/>
    <n v="4.3360000000000003"/>
    <n v="6.8385864374403065"/>
    <n v="8.2827125119388736"/>
    <n v="7.4844317096466089"/>
    <n v="10.236103151862466"/>
    <n v="-0.64584527220630239"/>
    <n v="1.9533906399235921"/>
    <n v="4.2328511077723334"/>
  </r>
  <r>
    <x v="0"/>
    <n v="50"/>
    <n v="3.6739999999999999"/>
    <n v="4.4039999999999999"/>
    <n v="7.018147086914996"/>
    <n v="8.4126074498567345"/>
    <n v="7.4844317096466089"/>
    <n v="10.236103151862466"/>
    <n v="-0.46628462273161286"/>
    <n v="1.8234957020057312"/>
    <n v="3.5425579246293371"/>
  </r>
  <r>
    <x v="0"/>
    <n v="50"/>
    <n v="4.0869999999999997"/>
    <n v="4.5259999999999998"/>
    <n v="7.8070678127984721"/>
    <n v="8.6456542502387776"/>
    <n v="7.4844317096466089"/>
    <n v="10.236103151862466"/>
    <n v="0.3226361031518632"/>
    <n v="1.590448901623688"/>
    <n v="2.6336217637330153"/>
  </r>
  <r>
    <x v="0"/>
    <n v="50"/>
    <n v="3.5190000000000001"/>
    <n v="4.8369999999999997"/>
    <n v="6.722063037249284"/>
    <n v="9.2397325692454633"/>
    <n v="7.4844317096466089"/>
    <n v="10.236103151862466"/>
    <n v="-0.76236867239732486"/>
    <n v="0.9963705826170024"/>
    <n v="1.5739603305574046"/>
  </r>
  <r>
    <x v="0"/>
    <n v="50"/>
    <n v="2.5920000000000001"/>
    <n v="5.7439999999999998"/>
    <n v="4.9512893982808031"/>
    <n v="10.972301814708691"/>
    <n v="7.4844317096466089"/>
    <n v="10.236103151862466"/>
    <n v="-2.5331423113658058"/>
    <n v="-0.73619866284622582"/>
    <n v="6.9587984408082679"/>
  </r>
  <r>
    <x v="0"/>
    <n v="50"/>
    <n v="3.5529999999999999"/>
    <n v="5.3380000000000001"/>
    <n v="6.7870105062082144"/>
    <n v="10.196752626552055"/>
    <n v="7.4844317096466089"/>
    <n v="10.236103151862466"/>
    <n v="-0.69742120343839442"/>
    <n v="3.9350525310410944E-2"/>
    <n v="0.48794479884766362"/>
  </r>
  <r>
    <x v="0"/>
    <n v="50"/>
    <n v="3.512"/>
    <n v="5.4459999999999997"/>
    <n v="6.7086914995224456"/>
    <n v="10.403056351480421"/>
    <n v="7.4844317096466089"/>
    <n v="10.236103151862466"/>
    <n v="-0.77574021012416328"/>
    <n v="-0.16695319961795541"/>
    <n v="0.6296462444661538"/>
  </r>
  <r>
    <x v="0"/>
    <n v="50"/>
    <n v="3.4380000000000002"/>
    <n v="5.5540000000000003"/>
    <n v="6.5673352435530097"/>
    <n v="10.609360076408787"/>
    <n v="7.4844317096466089"/>
    <n v="10.236103151862466"/>
    <n v="-0.91709646609359918"/>
    <n v="-0.37325692454632176"/>
    <n v="0.98038665984314666"/>
  </r>
  <r>
    <x v="0"/>
    <n v="50"/>
    <n v="3.323"/>
    <n v="5.7439999999999998"/>
    <n v="6.3476599808978031"/>
    <n v="10.972301814708691"/>
    <n v="7.4844317096466089"/>
    <n v="10.236103151862466"/>
    <n v="-1.1367717287488057"/>
    <n v="-0.73619866284622582"/>
    <n v="1.8342384344591194"/>
  </r>
  <r>
    <x v="0"/>
    <n v="50"/>
    <n v="3.4849999999999999"/>
    <n v="5.9189999999999996"/>
    <n v="6.6571155682903536"/>
    <n v="11.306590257879655"/>
    <n v="7.4844317096466089"/>
    <n v="10.236103151862466"/>
    <n v="-0.82731614135625531"/>
    <n v="-1.0704871060171897"/>
    <n v="1.8303946418976613"/>
  </r>
  <r>
    <x v="0"/>
    <n v="50"/>
    <n v="4.96"/>
    <n v="5.5810000000000004"/>
    <n v="9.4746895893027698"/>
    <n v="10.660936007640879"/>
    <n v="7.4844317096466089"/>
    <n v="10.236103151862466"/>
    <n v="1.990257879656161"/>
    <n v="-0.42483285577841379"/>
    <n v="4.1416093828822804"/>
  </r>
  <r>
    <x v="0"/>
    <n v="50"/>
    <n v="4.7569999999999997"/>
    <n v="5.6079999999999997"/>
    <n v="9.0869149952244506"/>
    <n v="10.71251193887297"/>
    <n v="7.4844317096466089"/>
    <n v="10.236103151862466"/>
    <n v="1.6024832855778417"/>
    <n v="-0.47640878701050404"/>
    <n v="2.794918012897174"/>
  </r>
  <r>
    <x v="0"/>
    <n v="50"/>
    <n v="4.5679999999999996"/>
    <n v="5.9189999999999996"/>
    <n v="8.7258834765998081"/>
    <n v="11.306590257879655"/>
    <n v="7.4844317096466089"/>
    <n v="10.236103151862466"/>
    <n v="1.2414517669531993"/>
    <n v="-1.0704871060171897"/>
    <n v="2.6871451338202785"/>
  </r>
  <r>
    <x v="0"/>
    <n v="50"/>
    <n v="4.8109999999999999"/>
    <n v="6.19"/>
    <n v="9.1900668576886346"/>
    <n v="11.824259789875837"/>
    <n v="7.4844317096466089"/>
    <n v="10.236103151862466"/>
    <n v="1.7056351480420258"/>
    <n v="-1.5881566380133716"/>
    <n v="5.4314327651022793"/>
  </r>
  <r>
    <x v="0"/>
    <n v="50"/>
    <n v="4.0529999999999999"/>
    <n v="5.9329999999999998"/>
    <n v="7.7421203438395416"/>
    <n v="11.333333333333334"/>
    <n v="7.4844317096466089"/>
    <n v="10.236103151862466"/>
    <n v="0.25768863419293275"/>
    <n v="-1.0972301814708683"/>
    <n v="1.2703175033228136"/>
  </r>
  <r>
    <x v="0"/>
    <n v="50"/>
    <n v="3.9049999999999998"/>
    <n v="6.17"/>
    <n v="7.4594078319006689"/>
    <n v="11.786055396370584"/>
    <n v="7.4844317096466089"/>
    <n v="10.236103151862466"/>
    <n v="-2.5023877745939949E-2"/>
    <n v="-1.549952244508118"/>
    <n v="2.4029781547131965"/>
  </r>
  <r>
    <x v="0"/>
    <n v="50"/>
    <n v="4.1349999999999998"/>
    <n v="6.4669999999999996"/>
    <n v="7.8987583572110793"/>
    <n v="12.353390639923591"/>
    <n v="7.4844317096466089"/>
    <n v="10.236103151862466"/>
    <n v="0.41432664756447046"/>
    <n v="-2.117287488061125"/>
    <n v="4.6545728779822015"/>
  </r>
  <r>
    <x v="0"/>
    <n v="50"/>
    <n v="3.4710000000000001"/>
    <n v="5.5739999999999998"/>
    <n v="6.6303724928366767"/>
    <n v="10.647564469914041"/>
    <n v="7.4844317096466089"/>
    <n v="10.236103151862466"/>
    <n v="-0.85405921680993213"/>
    <n v="-0.41146131805157538"/>
    <n v="0.8987175620707343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0">
  <r>
    <x v="0"/>
    <n v="25"/>
    <n v="5.31"/>
    <n v="4.569"/>
    <n v="20.286532951289399"/>
    <n v="17.455587392550143"/>
    <n v="17.820439350525312"/>
    <n v="21.204584527220629"/>
    <n v="2.4660936007640863"/>
    <n v="3.7489971346704856"/>
    <n v="20.13659716349709"/>
  </r>
  <r>
    <x v="0"/>
    <n v="25"/>
    <n v="4.4749999999999996"/>
    <n v="4.8259999999999996"/>
    <n v="17.096466093600764"/>
    <n v="18.437440305635146"/>
    <n v="17.820439350525312"/>
    <n v="21.204584527220629"/>
    <n v="-0.72397325692454828"/>
    <n v="2.7671442215854825"/>
    <n v="8.1812244197958641"/>
  </r>
  <r>
    <x v="0"/>
    <n v="25"/>
    <n v="4.4550000000000001"/>
    <n v="5.22"/>
    <n v="17.02005730659026"/>
    <n v="19.94269340974212"/>
    <n v="17.820439350525312"/>
    <n v="21.204584527220629"/>
    <n v="-0.80038204393505197"/>
    <n v="1.261891117478509"/>
    <n v="2.2329806086248118"/>
  </r>
  <r>
    <x v="0"/>
    <n v="25"/>
    <n v="3.9060000000000001"/>
    <n v="5.7619999999999996"/>
    <n v="14.922636103151865"/>
    <n v="22.013371537726837"/>
    <n v="17.820439350525312"/>
    <n v="21.204584527220629"/>
    <n v="-2.8978032473734476"/>
    <n v="-0.80878701050620805"/>
    <n v="9.0514000888516684"/>
  </r>
  <r>
    <x v="0"/>
    <n v="25"/>
    <n v="4.8760000000000003"/>
    <n v="6.3719999999999999"/>
    <n v="18.628462273161418"/>
    <n v="24.343839541547279"/>
    <n v="17.820439350525312"/>
    <n v="21.204584527220629"/>
    <n v="0.80802292263610553"/>
    <n v="-3.1392550143266504"/>
    <n v="10.507823088480411"/>
  </r>
  <r>
    <x v="0"/>
    <n v="25"/>
    <n v="5.0999999999999996"/>
    <n v="6.1420000000000003"/>
    <n v="19.484240687679083"/>
    <n v="23.46513849092646"/>
    <n v="17.820439350525312"/>
    <n v="21.204584527220629"/>
    <n v="1.663801337153771"/>
    <n v="-2.2605539637058314"/>
    <n v="7.8783391123408215"/>
  </r>
  <r>
    <x v="0"/>
    <n v="25"/>
    <n v="5.3230000000000004"/>
    <n v="5.62"/>
    <n v="20.336198662846229"/>
    <n v="21.470869149952247"/>
    <n v="17.820439350525312"/>
    <n v="21.204584527220629"/>
    <n v="2.5157593123209168"/>
    <n v="-0.26628462273161801"/>
    <n v="6.3999524178327318"/>
  </r>
  <r>
    <x v="0"/>
    <n v="25"/>
    <n v="4.8280000000000003"/>
    <n v="5.2539999999999996"/>
    <n v="18.4450811843362"/>
    <n v="20.07258834765998"/>
    <n v="17.820439350525312"/>
    <n v="21.204584527220629"/>
    <n v="0.62464183381088745"/>
    <n v="1.1319961795606481"/>
    <n v="1.6715927710865315"/>
  </r>
  <r>
    <x v="0"/>
    <n v="25"/>
    <n v="4.9029999999999996"/>
    <n v="5.782"/>
    <n v="18.731614135625598"/>
    <n v="22.089780324737347"/>
    <n v="17.820439350525312"/>
    <n v="21.204584527220629"/>
    <n v="0.91117478510028604"/>
    <n v="-0.88519579751671884"/>
    <n v="1.6138110889438124"/>
  </r>
  <r>
    <x v="0"/>
    <n v="25"/>
    <n v="4.8209999999999997"/>
    <n v="5.8570000000000002"/>
    <n v="18.418338108882523"/>
    <n v="22.376313276026746"/>
    <n v="17.820439350525312"/>
    <n v="21.204584527220629"/>
    <n v="0.59789875835721062"/>
    <n v="-1.1717287488061174"/>
    <n v="1.7304311860238437"/>
  </r>
  <r>
    <x v="0"/>
    <n v="25"/>
    <n v="4.3470000000000004"/>
    <n v="5.681"/>
    <n v="16.607449856733528"/>
    <n v="21.703915950334292"/>
    <n v="17.820439350525312"/>
    <n v="21.204584527220629"/>
    <n v="-1.2129894937917847"/>
    <n v="-0.49933142311366296"/>
    <n v="1.7206753821579659"/>
  </r>
  <r>
    <x v="0"/>
    <n v="25"/>
    <n v="4.5910000000000002"/>
    <n v="5.8840000000000003"/>
    <n v="17.5396370582617"/>
    <n v="22.47946513849093"/>
    <n v="17.820439350525312"/>
    <n v="21.204584527220629"/>
    <n v="-0.28080229226361197"/>
    <n v="-1.2748806112703015"/>
    <n v="1.7041705003334366"/>
  </r>
  <r>
    <x v="0"/>
    <n v="25"/>
    <n v="4.4279999999999999"/>
    <n v="5.7619999999999996"/>
    <n v="16.916905444126076"/>
    <n v="22.013371537726837"/>
    <n v="17.820439350525312"/>
    <n v="21.204584527220629"/>
    <n v="-0.90353390639923603"/>
    <n v="-0.80878701050620805"/>
    <n v="1.4705099483766326"/>
  </r>
  <r>
    <x v="0"/>
    <n v="25"/>
    <n v="4.5369999999999999"/>
    <n v="5.5789999999999997"/>
    <n v="17.333333333333336"/>
    <n v="21.314231136580709"/>
    <n v="17.820439350525312"/>
    <n v="21.204584527220629"/>
    <n v="-0.48710601719197655"/>
    <n v="-0.1096466093600803"/>
    <n v="0.24929465092879222"/>
  </r>
  <r>
    <x v="0"/>
    <n v="25"/>
    <n v="4.5910000000000002"/>
    <n v="5.3689999999999998"/>
    <n v="17.5396370582617"/>
    <n v="20.511938872970394"/>
    <n v="17.820439350525312"/>
    <n v="21.204584527220629"/>
    <n v="-0.28080229226361197"/>
    <n v="0.69264565425023505"/>
    <n v="0.55860792969223516"/>
  </r>
  <r>
    <x v="0"/>
    <n v="25"/>
    <n v="4.6660000000000004"/>
    <n v="5.3689999999999998"/>
    <n v="17.826170009551102"/>
    <n v="20.511938872970394"/>
    <n v="17.820439350525312"/>
    <n v="21.204584527220629"/>
    <n v="5.7306590257901746E-3"/>
    <n v="0.69264565425023505"/>
    <n v="0.47979084280460604"/>
  </r>
  <r>
    <x v="0"/>
    <n v="25"/>
    <n v="4.6050000000000004"/>
    <n v="5.5389999999999997"/>
    <n v="17.593123209169057"/>
    <n v="21.161413562559694"/>
    <n v="17.820439350525312"/>
    <n v="21.204584527220629"/>
    <n v="-0.22731614135625478"/>
    <n v="4.3170964660934175E-2"/>
    <n v="5.3536360310852432E-2"/>
  </r>
  <r>
    <x v="0"/>
    <n v="25"/>
    <n v="4.4550000000000001"/>
    <n v="5.274"/>
    <n v="17.02005730659026"/>
    <n v="20.148997134670488"/>
    <n v="17.820439350525312"/>
    <n v="21.204584527220629"/>
    <n v="-0.80038204393505197"/>
    <n v="1.0555873925501409"/>
    <n v="1.7548761595644566"/>
  </r>
  <r>
    <x v="0"/>
    <n v="25"/>
    <n v="4.6050000000000004"/>
    <n v="5.4569999999999999"/>
    <n v="17.593123209169057"/>
    <n v="20.848137535816619"/>
    <n v="17.820439350525312"/>
    <n v="21.204584527220629"/>
    <n v="-0.22731614135625478"/>
    <n v="0.35644699140400959"/>
    <n v="0.17872708580206689"/>
  </r>
  <r>
    <x v="0"/>
    <n v="25"/>
    <n v="4.468"/>
    <n v="5.6879999999999997"/>
    <n v="17.069723018147087"/>
    <n v="21.730659025787965"/>
    <n v="17.820439350525312"/>
    <n v="21.204584527220629"/>
    <n v="-0.7507163323782251"/>
    <n v="-0.52607449856733624"/>
    <n v="0.84032938974228788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0">
  <r>
    <x v="0"/>
    <n v="50"/>
    <n v="2.7250000000000001"/>
    <n v="3.1240000000000001"/>
    <n v="5.2053486150907355"/>
    <n v="5.9675262655205357"/>
    <n v="5.4663801337153775"/>
    <n v="8.8775549188156653"/>
    <n v="-0.26103151862464191"/>
    <n v="2.9100286532951296"/>
    <n v="8.5364042167141516"/>
  </r>
  <r>
    <x v="0"/>
    <n v="50"/>
    <n v="3.1059999999999999"/>
    <n v="3.3980000000000001"/>
    <n v="5.9331423113658071"/>
    <n v="6.4909264565425033"/>
    <n v="5.4663801337153775"/>
    <n v="8.8775549188156653"/>
    <n v="0.4667621776504296"/>
    <n v="2.3866284622731619"/>
    <n v="5.9138623474173286"/>
  </r>
  <r>
    <x v="0"/>
    <n v="50"/>
    <n v="3.722"/>
    <n v="3.8450000000000002"/>
    <n v="7.1098376313276033"/>
    <n v="7.3447946513849098"/>
    <n v="5.4663801337153775"/>
    <n v="8.8775549188156653"/>
    <n v="1.6434574976122258"/>
    <n v="1.5327602674307554"/>
    <n v="5.0503065838722403"/>
  </r>
  <r>
    <x v="0"/>
    <n v="50"/>
    <n v="4.1120000000000001"/>
    <n v="4.4329999999999998"/>
    <n v="7.8548233046800391"/>
    <n v="8.4680038204393515"/>
    <n v="5.4663801337153775"/>
    <n v="8.8775549188156653"/>
    <n v="2.3884431709646616"/>
    <n v="0.40955109837631376"/>
    <n v="5.8723928831089722"/>
  </r>
  <r>
    <x v="0"/>
    <n v="50"/>
    <n v="2.7629999999999999"/>
    <n v="3.8540000000000001"/>
    <n v="5.2779369627507169"/>
    <n v="7.3619866284622741"/>
    <n v="5.4663801337153775"/>
    <n v="8.8775549188156653"/>
    <n v="-0.18844317096466057"/>
    <n v="1.5155682903533911"/>
    <n v="2.3324580714079173"/>
  </r>
  <r>
    <x v="0"/>
    <n v="50"/>
    <n v="1.7949999999999999"/>
    <n v="3.9390000000000001"/>
    <n v="3.4288443170964662"/>
    <n v="7.5243553008595994"/>
    <n v="5.4663801337153775"/>
    <n v="8.8775549188156653"/>
    <n v="-2.0375358166189113"/>
    <n v="1.3531996179560659"/>
    <n v="5.9827014100413365"/>
  </r>
  <r>
    <x v="0"/>
    <n v="50"/>
    <n v="1.984"/>
    <n v="3.968"/>
    <n v="3.7898758357211082"/>
    <n v="7.5797516714422164"/>
    <n v="5.4663801337153775"/>
    <n v="8.8775549188156653"/>
    <n v="-1.6765042979942693"/>
    <n v="1.2978032473734489"/>
    <n v="4.4949599300863268"/>
  </r>
  <r>
    <x v="0"/>
    <n v="50"/>
    <n v="2.488"/>
    <n v="4.1680000000000001"/>
    <n v="4.7526265520534867"/>
    <n v="7.9617956064947473"/>
    <n v="5.4663801337153775"/>
    <n v="8.8775549188156653"/>
    <n v="-0.71375358166189073"/>
    <n v="0.91575931232091801"/>
    <n v="1.3480592934376578"/>
  </r>
  <r>
    <x v="0"/>
    <n v="50"/>
    <n v="3.1720000000000002"/>
    <n v="4.4050000000000002"/>
    <n v="6.0592168099331429"/>
    <n v="8.4145176695319979"/>
    <n v="5.4663801337153775"/>
    <n v="8.8775549188156653"/>
    <n v="0.59283667621776548"/>
    <n v="0.46303724928366741"/>
    <n v="0.56585881889311285"/>
  </r>
  <r>
    <x v="0"/>
    <n v="50"/>
    <n v="2.8010000000000002"/>
    <n v="4.6710000000000003"/>
    <n v="5.3505253104106982"/>
    <n v="8.9226361031518628"/>
    <n v="5.4663801337153775"/>
    <n v="8.8775549188156653"/>
    <n v="-0.11585482330467922"/>
    <n v="-4.5081184336197566E-2"/>
    <n v="1.5454653264112668E-2"/>
  </r>
  <r>
    <x v="0"/>
    <n v="50"/>
    <n v="3.048"/>
    <n v="4.6900000000000004"/>
    <n v="5.8223495702005739"/>
    <n v="8.9589302769818548"/>
    <n v="5.4663801337153775"/>
    <n v="8.8775549188156653"/>
    <n v="0.35596943648519641"/>
    <n v="-8.1375358166189571E-2"/>
    <n v="0.13333618862826394"/>
  </r>
  <r>
    <x v="0"/>
    <n v="50"/>
    <n v="3.3330000000000002"/>
    <n v="4.7839999999999998"/>
    <n v="6.3667621776504308"/>
    <n v="9.1384909264565426"/>
    <n v="5.4663801337153775"/>
    <n v="8.8775549188156653"/>
    <n v="0.90038204393505339"/>
    <n v="-0.26093600764087732"/>
    <n v="0.87877542512422435"/>
  </r>
  <r>
    <x v="0"/>
    <n v="50"/>
    <n v="2.383"/>
    <n v="4.8979999999999997"/>
    <n v="4.5520534861509079"/>
    <n v="9.3562559694364857"/>
    <n v="5.4663801337153775"/>
    <n v="8.8775549188156653"/>
    <n v="-0.91432664756446957"/>
    <n v="-0.47870105062082047"/>
    <n v="1.0651479143119591"/>
  </r>
  <r>
    <x v="0"/>
    <n v="50"/>
    <n v="2.27"/>
    <n v="5.0979999999999999"/>
    <n v="4.3361986628462272"/>
    <n v="9.7382999044890166"/>
    <n v="5.4663801337153775"/>
    <n v="8.8775549188156653"/>
    <n v="-1.1301814708691502"/>
    <n v="-0.86074498567335134"/>
    <n v="2.0181920874577735"/>
  </r>
  <r>
    <x v="0"/>
    <n v="50"/>
    <n v="3.048"/>
    <n v="5.2590000000000003"/>
    <n v="5.8223495702005739"/>
    <n v="10.045845272206305"/>
    <n v="5.4663801337153775"/>
    <n v="8.8775549188156653"/>
    <n v="0.35596943648519641"/>
    <n v="-1.1682903533906401"/>
    <n v="1.4916165895372151"/>
  </r>
  <r>
    <x v="0"/>
    <n v="50"/>
    <n v="3.6280000000000001"/>
    <n v="5.24"/>
    <n v="6.9302769818529137"/>
    <n v="10.009551098376315"/>
    <n v="5.4663801337153775"/>
    <n v="8.8775549188156653"/>
    <n v="1.4638968481375363"/>
    <n v="-1.1319961795606499"/>
    <n v="3.4244093325269205"/>
  </r>
  <r>
    <x v="0"/>
    <n v="50"/>
    <n v="3.6560000000000001"/>
    <n v="5.43"/>
    <n v="6.9837631327602683"/>
    <n v="10.372492836676217"/>
    <n v="5.4663801337153775"/>
    <n v="8.8775549188156653"/>
    <n v="1.5173829990448908"/>
    <n v="-1.4949379178605522"/>
    <n v="4.5372905440477105"/>
  </r>
  <r>
    <x v="0"/>
    <n v="50"/>
    <n v="3.3330000000000002"/>
    <n v="5.63"/>
    <n v="6.3667621776504308"/>
    <n v="10.75453677172875"/>
    <n v="5.4663801337153775"/>
    <n v="8.8775549188156653"/>
    <n v="0.90038204393505339"/>
    <n v="-1.8769818529130848"/>
    <n v="4.3337487012057014"/>
  </r>
  <r>
    <x v="0"/>
    <n v="50"/>
    <n v="2.1749999999999998"/>
    <n v="5.6769999999999996"/>
    <n v="4.1547277936962752"/>
    <n v="10.844317096466094"/>
    <n v="5.4663801337153775"/>
    <n v="8.8775549188156653"/>
    <n v="-1.3116523400191022"/>
    <n v="-1.9667621776504287"/>
    <n v="5.5885853245138435"/>
  </r>
  <r>
    <x v="0"/>
    <n v="50"/>
    <n v="1.6910000000000001"/>
    <n v="6.4370000000000003"/>
    <n v="3.2301814708691503"/>
    <n v="12.296084049665714"/>
    <n v="5.4663801337153775"/>
    <n v="8.8775549188156653"/>
    <n v="-2.2361986628462271"/>
    <n v="-3.4185291308500485"/>
    <n v="16.68692587818564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7">
  <r>
    <x v="0"/>
    <n v="25"/>
    <n v="4.5579999999999998"/>
    <n v="1.9850000000000001"/>
    <n v="17.413562559694366"/>
    <n v="7.5835721107927423"/>
    <n v="21.37783021518063"/>
    <n v="8.471711893926626"/>
    <n v="-3.9642676554862639"/>
    <n v="0.88813978313388375"/>
    <n v="16.504210318719661"/>
  </r>
  <r>
    <x v="0"/>
    <n v="25"/>
    <n v="4.6929999999999996"/>
    <n v="1.823"/>
    <n v="17.929321872015283"/>
    <n v="6.9646609360076415"/>
    <n v="21.37783021518063"/>
    <n v="8.471711893926626"/>
    <n v="-3.4485083431653472"/>
    <n v="1.5070509579189846"/>
    <n v="14.163412382645538"/>
  </r>
  <r>
    <x v="0"/>
    <n v="25"/>
    <n v="4.9569999999999999"/>
    <n v="2.5790000000000002"/>
    <n v="18.937917860553963"/>
    <n v="9.8529130850047775"/>
    <n v="21.37783021518063"/>
    <n v="8.471711893926626"/>
    <n v="-2.4399123546266672"/>
    <n v="-1.3812011910781514"/>
    <n v="7.860889028495551"/>
  </r>
  <r>
    <x v="0"/>
    <n v="25"/>
    <n v="6.5839999999999996"/>
    <n v="2.403"/>
    <n v="25.153772683858644"/>
    <n v="9.1805157593123212"/>
    <n v="21.37783021518063"/>
    <n v="8.471711893926626"/>
    <n v="3.7759424686780143"/>
    <n v="-0.70880386538569518"/>
    <n v="14.760144446351919"/>
  </r>
  <r>
    <x v="0"/>
    <n v="25"/>
    <n v="6.4489999999999998"/>
    <n v="2.593"/>
    <n v="24.638013371537728"/>
    <n v="9.9063992359121311"/>
    <n v="21.37783021518063"/>
    <n v="8.471711893926626"/>
    <n v="3.2601831563570975"/>
    <n v="-1.4346873419855051"/>
    <n v="12.687121982247962"/>
  </r>
  <r>
    <x v="0"/>
    <n v="25"/>
    <n v="5.5570000000000004"/>
    <n v="2.714"/>
    <n v="21.230181470869152"/>
    <n v="10.368672397325692"/>
    <n v="21.37783021518063"/>
    <n v="8.471711893926626"/>
    <n v="-0.14764874431147845"/>
    <n v="-1.8969605033990664"/>
    <n v="3.6202593031527956"/>
  </r>
  <r>
    <x v="0"/>
    <n v="25"/>
    <n v="5.43"/>
    <n v="2.6190000000000002"/>
    <n v="20.744985673352435"/>
    <n v="10.00573065902579"/>
    <n v="21.37783021518063"/>
    <n v="8.471711893926626"/>
    <n v="-0.63284454182819516"/>
    <n v="-1.5340187650991641"/>
    <n v="2.7537057857981031"/>
  </r>
  <r>
    <x v="0"/>
    <n v="25"/>
    <n v="5.274"/>
    <n v="2.234"/>
    <n v="20.148997134670488"/>
    <n v="8.5348615090735436"/>
    <n v="21.37783021518063"/>
    <n v="8.471711893926626"/>
    <n v="-1.2288330805101424"/>
    <n v="-6.3149615146917526E-2"/>
    <n v="1.5140186136492499"/>
  </r>
  <r>
    <x v="0"/>
    <n v="25"/>
    <n v="5.4089999999999998"/>
    <n v="2.4849999999999999"/>
    <n v="20.664756446991404"/>
    <n v="9.4937917860553966"/>
    <n v="21.37783021518063"/>
    <n v="8.471711893926626"/>
    <n v="-0.71307376818922563"/>
    <n v="-1.0220798921287706"/>
    <n v="1.5531215047735407"/>
  </r>
  <r>
    <x v="0"/>
    <n v="25"/>
    <n v="5.774"/>
    <n v="2.4169999999999998"/>
    <n v="22.059216809933144"/>
    <n v="9.2340019102196749"/>
    <n v="21.37783021518063"/>
    <n v="8.471711893926626"/>
    <n v="0.68138659475251373"/>
    <n v="-0.76229001629304882"/>
    <n v="1.045373760448483"/>
  </r>
  <r>
    <x v="0"/>
    <n v="25"/>
    <n v="6.1379999999999999"/>
    <n v="2.1259999999999999"/>
    <n v="23.449856733524356"/>
    <n v="8.1222540592168109"/>
    <n v="21.37783021518063"/>
    <n v="8.471711893926626"/>
    <n v="2.0720265183437263"/>
    <n v="0.34945783470981517"/>
    <n v="4.4154146709596969"/>
  </r>
  <r>
    <x v="0"/>
    <n v="25"/>
    <n v="5.9080000000000004"/>
    <n v="2.1459999999999999"/>
    <n v="22.571155682903537"/>
    <n v="8.1986628462273163"/>
    <n v="21.37783021518063"/>
    <n v="8.471711893926626"/>
    <n v="1.1933254677229073"/>
    <n v="0.27304904769930971"/>
    <n v="1.4985814543655953"/>
  </r>
  <r>
    <x v="0"/>
    <n v="25"/>
    <n v="5.915"/>
    <n v="1.9239999999999999"/>
    <n v="22.597898758357214"/>
    <n v="7.3505253104106973"/>
    <n v="21.37783021518063"/>
    <n v="8.471711893926626"/>
    <n v="1.2200685431765841"/>
    <n v="1.1211865835159287"/>
    <n v="2.7456266051051528"/>
  </r>
  <r>
    <x v="0"/>
    <n v="25"/>
    <n v="5.74"/>
    <n v="1.911"/>
    <n v="21.929321872015283"/>
    <n v="7.3008595988538687"/>
    <n v="21.37783021518063"/>
    <n v="8.471711893926626"/>
    <n v="0.55149165683465284"/>
    <n v="1.1708522950727573"/>
    <n v="1.6750381444353737"/>
  </r>
  <r>
    <x v="0"/>
    <n v="25"/>
    <n v="5.6390000000000002"/>
    <n v="1.7410000000000001"/>
    <n v="21.543457497612227"/>
    <n v="6.651384909264566"/>
    <n v="21.37783021518063"/>
    <n v="8.471711893926626"/>
    <n v="0.16562728243159697"/>
    <n v="1.82032698466206"/>
    <n v="3.3410227277745435"/>
  </r>
  <r>
    <x v="0"/>
    <n v="25"/>
    <n v="5.5170000000000003"/>
    <n v="1.917"/>
    <n v="21.077363896848141"/>
    <n v="7.3237822349570205"/>
    <n v="21.37783021518063"/>
    <n v="8.471711893926626"/>
    <n v="-0.30046631833248938"/>
    <n v="1.1479296589696055"/>
    <n v="1.4080225103943556"/>
  </r>
  <r>
    <x v="0"/>
    <n v="25"/>
    <n v="5.5839999999999996"/>
    <n v="2.08"/>
    <n v="21.333333333333332"/>
    <n v="7.9465138490926464"/>
    <n v="21.37783021518063"/>
    <n v="8.471711893926626"/>
    <n v="-4.4496881847297942E-2"/>
    <n v="0.52519804483397969"/>
    <n v="0.27781295879156737"/>
  </r>
  <r>
    <x v="1"/>
    <n v="25"/>
    <n v="3.8530000000000002"/>
    <n v="4.59"/>
    <n v="14.720152817574023"/>
    <n v="17.535816618911177"/>
    <n v="16.319388729703917"/>
    <n v="18.322827125119392"/>
    <n v="-1.5992359121298936"/>
    <n v="0.78701050620821533"/>
    <n v="3.1769410395280442"/>
  </r>
  <r>
    <x v="1"/>
    <n v="25"/>
    <n v="3.9140000000000001"/>
    <n v="5.024"/>
    <n v="14.953199617956066"/>
    <n v="19.193887297039161"/>
    <n v="16.319388729703917"/>
    <n v="18.322827125119392"/>
    <n v="-1.3661891117478504"/>
    <n v="-0.87106017191976903"/>
    <n v="2.6252185121632783"/>
  </r>
  <r>
    <x v="1"/>
    <n v="25"/>
    <n v="4.28"/>
    <n v="5.0979999999999999"/>
    <n v="16.351480420248329"/>
    <n v="19.476599808978033"/>
    <n v="16.319388729703917"/>
    <n v="18.322827125119392"/>
    <n v="3.2091690544412188E-2"/>
    <n v="-1.1537726838586408"/>
    <n v="1.3322212826203694"/>
  </r>
  <r>
    <x v="1"/>
    <n v="25"/>
    <n v="4.3609999999999998"/>
    <n v="5.2270000000000003"/>
    <n v="16.660936007640878"/>
    <n v="19.9694364851958"/>
    <n v="16.319388729703917"/>
    <n v="18.322827125119392"/>
    <n v="0.34154727793696082"/>
    <n v="-1.6466093600764076"/>
    <n v="2.8279769277573843"/>
  </r>
  <r>
    <x v="1"/>
    <n v="25"/>
    <n v="4.6390000000000002"/>
    <n v="4.9359999999999999"/>
    <n v="17.723018147086918"/>
    <n v="18.857688634192932"/>
    <n v="16.319388729703917"/>
    <n v="18.322827125119392"/>
    <n v="1.4036294173830015"/>
    <n v="-0.53486150907354002"/>
    <n v="2.2562523752313686"/>
  </r>
  <r>
    <x v="1"/>
    <n v="25"/>
    <n v="4.3879999999999999"/>
    <n v="4.7869999999999999"/>
    <n v="16.764087870105062"/>
    <n v="18.288443170964662"/>
    <n v="16.319388729703917"/>
    <n v="18.322827125119392"/>
    <n v="0.44469914040114489"/>
    <n v="3.438395415473039E-2"/>
    <n v="0.19893958177683177"/>
  </r>
  <r>
    <x v="1"/>
    <n v="25"/>
    <n v="4.2249999999999996"/>
    <n v="4.4409999999999998"/>
    <n v="16.141356255969438"/>
    <n v="16.966571155682903"/>
    <n v="16.319388729703917"/>
    <n v="18.322827125119392"/>
    <n v="-0.17803247373447917"/>
    <n v="1.3562559694364893"/>
    <n v="1.8711258163361293"/>
  </r>
  <r>
    <x v="1"/>
    <n v="25"/>
    <n v="4.3070000000000004"/>
    <n v="4.42"/>
    <n v="16.454632282712513"/>
    <n v="16.886341929321873"/>
    <n v="16.319388729703917"/>
    <n v="18.322827125119392"/>
    <n v="0.13524355300859625"/>
    <n v="1.4364851957975198"/>
    <n v="2.0817805363758279"/>
  </r>
  <r>
    <x v="1"/>
    <n v="25"/>
    <n v="4.3949999999999996"/>
    <n v="4.78"/>
    <n v="16.790830945558739"/>
    <n v="18.261700095510985"/>
    <n v="16.319388729703917"/>
    <n v="18.322827125119392"/>
    <n v="0.47144221585482171"/>
    <n v="6.1127029608407213E-2"/>
    <n v="0.22599427663885141"/>
  </r>
  <r>
    <x v="1"/>
    <n v="25"/>
    <n v="4.3540000000000001"/>
    <n v="4.657"/>
    <n v="16.634192932187204"/>
    <n v="17.791786055396372"/>
    <n v="16.319388729703917"/>
    <n v="18.322827125119392"/>
    <n v="0.31480420248328755"/>
    <n v="0.53104106972302034"/>
    <n v="0.38110630363370845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40">
  <r>
    <x v="0"/>
    <n v="25"/>
    <n v="4.3079999999999998"/>
    <n v="7.2910000000000004"/>
    <n v="16.458452722063036"/>
    <n v="27.854823304680043"/>
    <n v="20.917669531996182"/>
    <n v="29.217574021012418"/>
    <n v="-4.459216809933146"/>
    <n v="1.3627507163323749"/>
    <n v="21.741704072854745"/>
  </r>
  <r>
    <x v="0"/>
    <n v="25"/>
    <n v="4.7809999999999997"/>
    <n v="7.1219999999999999"/>
    <n v="18.265520534861508"/>
    <n v="27.209169054441261"/>
    <n v="20.917669531996182"/>
    <n v="29.217574021012418"/>
    <n v="-2.6521489971346739"/>
    <n v="2.0084049665711561"/>
    <n v="11.067584812750143"/>
  </r>
  <r>
    <x v="0"/>
    <n v="25"/>
    <n v="5.2060000000000004"/>
    <n v="7.4119999999999999"/>
    <n v="19.889207258834769"/>
    <n v="28.317096466093602"/>
    <n v="20.917669531996182"/>
    <n v="29.217574021012418"/>
    <n v="-1.0284622731614128"/>
    <n v="0.90047755491881531"/>
    <n v="1.8685944742289085"/>
  </r>
  <r>
    <x v="0"/>
    <n v="25"/>
    <n v="5.9420000000000002"/>
    <n v="6.7640000000000002"/>
    <n v="22.701050620821398"/>
    <n v="25.841451766953202"/>
    <n v="20.917669531996182"/>
    <n v="29.217574021012418"/>
    <n v="1.783381088825216"/>
    <n v="3.3761222540592151"/>
    <n v="14.578649582333288"/>
  </r>
  <r>
    <x v="0"/>
    <n v="25"/>
    <n v="5.7469999999999999"/>
    <n v="7.0270000000000001"/>
    <n v="21.95606494746896"/>
    <n v="26.846227316141359"/>
    <n v="20.917669531996182"/>
    <n v="29.217574021012418"/>
    <n v="1.0383954154727775"/>
    <n v="2.3713467048710584"/>
    <n v="6.7015502335777084"/>
  </r>
  <r>
    <x v="0"/>
    <n v="25"/>
    <n v="6.5640000000000001"/>
    <n v="8.0670000000000002"/>
    <n v="25.077363896848141"/>
    <n v="30.819484240687682"/>
    <n v="20.917669531996182"/>
    <n v="29.217574021012418"/>
    <n v="4.1596943648519584"/>
    <n v="-1.6019102196752648"/>
    <n v="19.869173560881194"/>
  </r>
  <r>
    <x v="0"/>
    <n v="25"/>
    <n v="5.774"/>
    <n v="8.5459999999999994"/>
    <n v="22.059216809933144"/>
    <n v="32.649474689589304"/>
    <n v="20.917669531996182"/>
    <n v="29.217574021012418"/>
    <n v="1.1415472779369615"/>
    <n v="-3.4319006685768869"/>
    <n v="13.08107238674377"/>
  </r>
  <r>
    <x v="0"/>
    <n v="25"/>
    <n v="5.0709999999999997"/>
    <n v="8.1210000000000004"/>
    <n v="19.373447946513849"/>
    <n v="31.02578796561605"/>
    <n v="20.917669531996182"/>
    <n v="29.217574021012418"/>
    <n v="-1.5442215854823331"/>
    <n v="-1.8082139446036329"/>
    <n v="5.6542579745286012"/>
  </r>
  <r>
    <x v="0"/>
    <n v="25"/>
    <n v="5.43"/>
    <n v="9.1609999999999996"/>
    <n v="20.744985673352435"/>
    <n v="34.999044890162367"/>
    <n v="20.917669531996182"/>
    <n v="29.217574021012418"/>
    <n v="-0.17268385864374736"/>
    <n v="-5.781470869149949"/>
    <n v="33.45522512586556"/>
  </r>
  <r>
    <x v="0"/>
    <n v="25"/>
    <n v="5.9290000000000003"/>
    <n v="6.9660000000000002"/>
    <n v="22.651384909264568"/>
    <n v="26.613180515759314"/>
    <n v="20.917669531996182"/>
    <n v="29.217574021012418"/>
    <n v="1.7337153772683855"/>
    <n v="2.6043935052531033"/>
    <n v="9.7886345395814072"/>
  </r>
  <r>
    <x v="1"/>
    <n v="25"/>
    <n v="1.4750000000000001"/>
    <n v="3.7770000000000001"/>
    <n v="5.6351480420248334"/>
    <n v="14.4297994269341"/>
    <n v="16.485195797516713"/>
    <n v="14.774021012416428"/>
    <n v="-10.850047755491879"/>
    <n v="0.34422158548232851"/>
    <n v="117.84202479636632"/>
  </r>
  <r>
    <x v="1"/>
    <n v="25"/>
    <n v="1.9890000000000001"/>
    <n v="4.9669999999999996"/>
    <n v="7.5988538681948432"/>
    <n v="18.976122254059216"/>
    <n v="16.485195797516713"/>
    <n v="14.774021012416428"/>
    <n v="-8.8863419293218691"/>
    <n v="-4.2021012416427883"/>
    <n v="96.624727729839776"/>
  </r>
  <r>
    <x v="1"/>
    <n v="25"/>
    <n v="3.4550000000000001"/>
    <n v="4.9669999999999996"/>
    <n v="13.199617956064948"/>
    <n v="18.976122254059216"/>
    <n v="16.485195797516713"/>
    <n v="14.774021012416428"/>
    <n v="-3.2855778414517651"/>
    <n v="-4.2021012416427883"/>
    <n v="28.452676597254701"/>
  </r>
  <r>
    <x v="1"/>
    <n v="25"/>
    <n v="3.73"/>
    <n v="4.8239999999999998"/>
    <n v="14.250238777459408"/>
    <n v="18.4297994269341"/>
    <n v="16.485195797516713"/>
    <n v="14.774021012416428"/>
    <n v="-2.2349570200573048"/>
    <n v="-3.6557784145176715"/>
    <n v="18.359748697556768"/>
  </r>
  <r>
    <x v="1"/>
    <n v="25"/>
    <n v="3.6360000000000001"/>
    <n v="4.5670000000000002"/>
    <n v="13.891117478510029"/>
    <n v="17.447946513849093"/>
    <n v="16.485195797516713"/>
    <n v="14.774021012416428"/>
    <n v="-2.5940783190066838"/>
    <n v="-2.6739255014326648"/>
    <n v="13.87911991235247"/>
  </r>
  <r>
    <x v="1"/>
    <n v="25"/>
    <n v="3.5880000000000001"/>
    <n v="4.12"/>
    <n v="13.707736389684815"/>
    <n v="15.74021012416428"/>
    <n v="16.485195797516713"/>
    <n v="14.774021012416428"/>
    <n v="-2.7774594078318984"/>
    <n v="-0.96618911174785183"/>
    <n v="8.6478021618140222"/>
  </r>
  <r>
    <x v="1"/>
    <n v="25"/>
    <n v="5.6820000000000004"/>
    <n v="4.6150000000000002"/>
    <n v="21.707736389684818"/>
    <n v="17.631327602674311"/>
    <n v="16.485195797516713"/>
    <n v="14.774021012416428"/>
    <n v="5.2225405921681052"/>
    <n v="-2.8573065902578829"/>
    <n v="35.439131187574716"/>
  </r>
  <r>
    <x v="1"/>
    <n v="25"/>
    <n v="5.4160000000000004"/>
    <n v="4.6520000000000001"/>
    <n v="20.691499522445085"/>
    <n v="17.772683858643745"/>
    <n v="16.485195797516713"/>
    <n v="14.774021012416428"/>
    <n v="4.2063037249283717"/>
    <n v="-2.998662846227317"/>
    <n v="26.684969891690407"/>
  </r>
  <r>
    <x v="1"/>
    <n v="25"/>
    <n v="4.53"/>
    <n v="4.9189999999999996"/>
    <n v="17.306590257879659"/>
    <n v="18.792741165234002"/>
    <n v="16.485195797516713"/>
    <n v="14.774021012416428"/>
    <n v="0.82139446036294572"/>
    <n v="-4.0187201528175738"/>
    <n v="16.824800526177036"/>
  </r>
  <r>
    <x v="1"/>
    <n v="25"/>
    <n v="4.4249999999999998"/>
    <n v="5.0430000000000001"/>
    <n v="16.905444126074499"/>
    <n v="19.266475644699142"/>
    <n v="16.485195797516713"/>
    <n v="14.774021012416428"/>
    <n v="0.42024832855778627"/>
    <n v="-4.4924546322827137"/>
    <n v="20.358757280774025"/>
  </r>
  <r>
    <x v="1"/>
    <n v="25"/>
    <n v="4.1970000000000001"/>
    <n v="4.7480000000000002"/>
    <n v="16.03438395415473"/>
    <n v="18.139446036294174"/>
    <n v="16.485195797516713"/>
    <n v="14.774021012416428"/>
    <n v="-0.45081184336198277"/>
    <n v="-3.3654250238777461"/>
    <n v="11.529316909457958"/>
  </r>
  <r>
    <x v="1"/>
    <n v="25"/>
    <n v="4.1210000000000004"/>
    <n v="4.5670000000000002"/>
    <n v="15.744030563514807"/>
    <n v="17.447946513849093"/>
    <n v="16.485195797516713"/>
    <n v="14.774021012416428"/>
    <n v="-0.74116523400190637"/>
    <n v="-2.6739255014326648"/>
    <n v="7.6992034913050285"/>
  </r>
  <r>
    <x v="1"/>
    <n v="25"/>
    <n v="4.3869999999999996"/>
    <n v="4.3479999999999999"/>
    <n v="16.760267430754535"/>
    <n v="16.611270296084051"/>
    <n v="16.485195797516713"/>
    <n v="14.774021012416428"/>
    <n v="0.2750716332378218"/>
    <n v="-1.8372492836676226"/>
    <n v="3.4511493337493149"/>
  </r>
  <r>
    <x v="1"/>
    <n v="25"/>
    <n v="5.9669999999999996"/>
    <n v="2.5590000000000002"/>
    <n v="22.796561604584529"/>
    <n v="9.7765042979942702"/>
    <n v="16.485195797516713"/>
    <n v="14.774021012416428"/>
    <n v="6.3113658070678156"/>
    <n v="4.9975167144221579"/>
    <n v="64.808511661553624"/>
  </r>
  <r>
    <x v="1"/>
    <n v="25"/>
    <n v="5.9009999999999998"/>
    <n v="2.9209999999999998"/>
    <n v="22.544412607449857"/>
    <n v="11.159503342884431"/>
    <n v="16.485195797516713"/>
    <n v="14.774021012416428"/>
    <n v="6.0592168099331438"/>
    <n v="3.6145176695319972"/>
    <n v="49.778846333135405"/>
  </r>
  <r>
    <x v="1"/>
    <n v="25"/>
    <n v="5.282"/>
    <n v="3.5870000000000002"/>
    <n v="20.179560649474691"/>
    <n v="13.70391595033429"/>
    <n v="16.485195797516713"/>
    <n v="14.774021012416428"/>
    <n v="3.6943648519579781"/>
    <n v="1.0701050620821384"/>
    <n v="14.793456503276312"/>
  </r>
  <r>
    <x v="1"/>
    <n v="25"/>
    <n v="5.1479999999999997"/>
    <n v="3.911"/>
    <n v="19.667621776504298"/>
    <n v="14.94173829990449"/>
    <n v="16.485195797516713"/>
    <n v="14.774021012416428"/>
    <n v="3.1824259789875846"/>
    <n v="-0.16771728748806147"/>
    <n v="10.15596420025744"/>
  </r>
  <r>
    <x v="1"/>
    <n v="25"/>
    <n v="4.806"/>
    <n v="3.73"/>
    <n v="18.361031518624642"/>
    <n v="14.250238777459408"/>
    <n v="16.485195797516713"/>
    <n v="14.774021012416428"/>
    <n v="1.8758357211079293"/>
    <n v="0.52378223495701981"/>
    <n v="3.7931074822410755"/>
  </r>
  <r>
    <x v="1"/>
    <n v="25"/>
    <n v="4.7300000000000004"/>
    <n v="3.52"/>
    <n v="18.070678127984721"/>
    <n v="13.447946513849093"/>
    <n v="16.485195797516713"/>
    <n v="14.774021012416428"/>
    <n v="1.5854823304680075"/>
    <n v="1.3260744985673352"/>
    <n v="4.2722277959768729"/>
  </r>
  <r>
    <x v="1"/>
    <n v="25"/>
    <n v="4.5110000000000001"/>
    <n v="3.6059999999999999"/>
    <n v="17.234001910219678"/>
    <n v="13.77650429799427"/>
    <n v="16.485195797516713"/>
    <n v="14.774021012416428"/>
    <n v="0.74880611270296527"/>
    <n v="0.99751671442215795"/>
    <n v="1.5557501899729029"/>
  </r>
  <r>
    <x v="1"/>
    <n v="25"/>
    <n v="4.3490000000000002"/>
    <n v="3.6160000000000001"/>
    <n v="16.615090735434578"/>
    <n v="13.814708691499524"/>
    <n v="16.485195797516713"/>
    <n v="14.774021012416428"/>
    <n v="0.12989493791786444"/>
    <n v="0.95931232091690433"/>
    <n v="0.93715282395966348"/>
  </r>
  <r>
    <x v="1"/>
    <n v="25"/>
    <n v="3.9209999999999998"/>
    <n v="3.4820000000000002"/>
    <n v="14.979942693409743"/>
    <n v="13.302769818529132"/>
    <n v="16.485195797516713"/>
    <n v="14.774021012416428"/>
    <n v="-1.5052531041069699"/>
    <n v="1.4712511938872961"/>
    <n v="4.4303669829384624"/>
  </r>
  <r>
    <x v="1"/>
    <n v="25"/>
    <n v="4.3869999999999996"/>
    <n v="3.206"/>
    <n v="16.760267430754535"/>
    <n v="12.248328557784145"/>
    <n v="16.485195797516713"/>
    <n v="14.774021012416428"/>
    <n v="0.2750716332378218"/>
    <n v="2.5256924546322832"/>
    <n v="6.4547867787985709"/>
  </r>
  <r>
    <x v="1"/>
    <n v="25"/>
    <n v="4.9779999999999998"/>
    <n v="3.1019999999999999"/>
    <n v="19.018147086914997"/>
    <n v="11.851002865329512"/>
    <n v="16.485195797516713"/>
    <n v="14.774021012416428"/>
    <n v="2.5329512893982837"/>
    <n v="2.9230181470869159"/>
    <n v="14.959877322663855"/>
  </r>
  <r>
    <x v="1"/>
    <n v="25"/>
    <n v="4.1779999999999999"/>
    <n v="2.7589999999999999"/>
    <n v="15.961795606494748"/>
    <n v="10.540592168099332"/>
    <n v="16.485195797516713"/>
    <n v="14.774021012416428"/>
    <n v="-0.523400191021965"/>
    <n v="4.2334288443170962"/>
    <n v="18.195867539857812"/>
  </r>
  <r>
    <x v="1"/>
    <n v="25"/>
    <n v="4.2439999999999998"/>
    <n v="2.6549999999999998"/>
    <n v="16.213944603629418"/>
    <n v="10.143266475644699"/>
    <n v="16.485195797516713"/>
    <n v="14.774021012416428"/>
    <n v="-0.27125119388729502"/>
    <n v="4.6307545367717289"/>
    <n v="21.517464790017232"/>
  </r>
  <r>
    <x v="1"/>
    <n v="25"/>
    <n v="3.6549999999999998"/>
    <n v="2.7589999999999999"/>
    <n v="13.96370582617001"/>
    <n v="10.540592168099332"/>
    <n v="16.485195797516713"/>
    <n v="14.774021012416428"/>
    <n v="-2.5214899713467034"/>
    <n v="4.2334288443170962"/>
    <n v="24.279831455497984"/>
  </r>
  <r>
    <x v="1"/>
    <n v="25"/>
    <n v="4.3490000000000002"/>
    <n v="2.1120000000000001"/>
    <n v="16.615090735434578"/>
    <n v="8.0687679083094572"/>
    <n v="16.485195797516713"/>
    <n v="14.774021012416428"/>
    <n v="0.12989493791786444"/>
    <n v="6.705253104106971"/>
    <n v="44.977291885032855"/>
  </r>
  <r>
    <x v="1"/>
    <n v="25"/>
    <n v="3.702"/>
    <n v="4.7960000000000003"/>
    <n v="14.143266475644699"/>
    <n v="18.322827125119392"/>
    <n v="16.485195797516713"/>
    <n v="14.774021012416428"/>
    <n v="-2.3419293218720139"/>
    <n v="-3.5488061127029642"/>
    <n v="18.078657774201833"/>
  </r>
  <r>
    <x v="1"/>
    <n v="25"/>
    <n v="4.7110000000000003"/>
    <n v="3.5779999999999998"/>
    <n v="17.99808978032474"/>
    <n v="13.669531996179561"/>
    <n v="16.485195797516713"/>
    <n v="14.774021012416428"/>
    <n v="1.512893982808027"/>
    <n v="1.104489016236867"/>
    <n v="3.508744190204617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30">
  <r>
    <x v="0"/>
    <n v="50"/>
    <n v="5.7210000000000001"/>
    <n v="1.823"/>
    <n v="10.928366762177651"/>
    <n v="3.4823304680038207"/>
    <n v="10.939255014326648"/>
    <n v="5.6481375358166188"/>
    <n v="-1.0888252148996358E-2"/>
    <n v="2.1658070678127981"/>
    <n v="4.69083880902273"/>
  </r>
  <r>
    <x v="0"/>
    <n v="50"/>
    <n v="5.851"/>
    <n v="2.508"/>
    <n v="11.176695319961796"/>
    <n v="4.7908309455587395"/>
    <n v="10.939255014326648"/>
    <n v="5.6481375358166188"/>
    <n v="0.23744030563514862"/>
    <n v="0.85730659025787936"/>
    <n v="0.79135248843970429"/>
  </r>
  <r>
    <x v="0"/>
    <n v="50"/>
    <n v="4.9400000000000004"/>
    <n v="2.847"/>
    <n v="9.436485195797518"/>
    <n v="5.4383954154727796"/>
    <n v="10.939255014326648"/>
    <n v="5.6481375358166188"/>
    <n v="-1.5027698185291296"/>
    <n v="0.20974212034383921"/>
    <n v="2.302308884528403"/>
  </r>
  <r>
    <x v="0"/>
    <n v="50"/>
    <n v="5.2690000000000001"/>
    <n v="2.673"/>
    <n v="10.06494746895893"/>
    <n v="5.1060171919770774"/>
    <n v="10.939255014326648"/>
    <n v="5.6481375358166188"/>
    <n v="-0.87430754536771715"/>
    <n v="0.54212034383954144"/>
    <n v="1.0583081510916255"/>
  </r>
  <r>
    <x v="0"/>
    <n v="50"/>
    <n v="5.4429999999999996"/>
    <n v="2.8639999999999999"/>
    <n v="10.397325692454633"/>
    <n v="5.4708691499522448"/>
    <n v="10.939255014326648"/>
    <n v="5.6481375358166188"/>
    <n v="-0.54192932187201492"/>
    <n v="0.17726838586437399"/>
    <n v="0.32511147053162259"/>
  </r>
  <r>
    <x v="0"/>
    <n v="50"/>
    <n v="5.5640000000000001"/>
    <n v="2.8639999999999999"/>
    <n v="10.628462273161414"/>
    <n v="5.4708691499522448"/>
    <n v="10.939255014326648"/>
    <n v="5.6481375358166188"/>
    <n v="-0.31079274116523337"/>
    <n v="0.17726838586437399"/>
    <n v="0.12801620858796031"/>
  </r>
  <r>
    <x v="0"/>
    <n v="50"/>
    <n v="6.8140000000000001"/>
    <n v="3.0550000000000002"/>
    <n v="13.016236867239733"/>
    <n v="5.8357211079274123"/>
    <n v="10.939255014326648"/>
    <n v="5.6481375358166188"/>
    <n v="2.0769818529130859"/>
    <n v="-0.18758357211079346"/>
    <n v="4.349041213856121"/>
  </r>
  <r>
    <x v="0"/>
    <n v="50"/>
    <n v="5.5119999999999996"/>
    <n v="3.3849999999999998"/>
    <n v="10.529130850047755"/>
    <n v="6.4660936007640881"/>
    <n v="10.939255014326648"/>
    <n v="5.6481375358166188"/>
    <n v="-0.41012416427889242"/>
    <n v="-0.81795606494746931"/>
    <n v="0.83725395430980865"/>
  </r>
  <r>
    <x v="0"/>
    <n v="50"/>
    <n v="5.9809999999999999"/>
    <n v="3.8180000000000001"/>
    <n v="11.425023877745941"/>
    <n v="7.2932187201528178"/>
    <n v="10.939255014326648"/>
    <n v="5.6481375358166188"/>
    <n v="0.4857688634192936"/>
    <n v="-1.645081184336199"/>
    <n v="2.9422634917246637"/>
  </r>
  <r>
    <x v="0"/>
    <n v="50"/>
    <n v="6.1719999999999997"/>
    <n v="3.7309999999999999"/>
    <n v="11.789875835721109"/>
    <n v="7.1270296084049667"/>
    <n v="10.939255014326648"/>
    <n v="5.6481375358166188"/>
    <n v="0.85062082139446105"/>
    <n v="-1.4788920725883479"/>
    <n v="2.910677544154447"/>
  </r>
  <r>
    <x v="1"/>
    <n v="50"/>
    <n v="1.7450000000000001"/>
    <n v="4.9119999999999999"/>
    <n v="3.3333333333333339"/>
    <n v="9.3829990448901626"/>
    <n v="4.1212989493791783"/>
    <n v="11.412225405921683"/>
    <n v="-0.78796561604584436"/>
    <n v="2.0292263610315207"/>
    <n v="4.7386494363757343"/>
  </r>
  <r>
    <x v="1"/>
    <n v="50"/>
    <n v="1.875"/>
    <n v="5.3460000000000001"/>
    <n v="3.5816618911174789"/>
    <n v="10.212034383954155"/>
    <n v="4.1212989493791783"/>
    <n v="11.412225405921683"/>
    <n v="-0.53963705826169939"/>
    <n v="1.2001910219675285"/>
    <n v="1.7316666438608013"/>
  </r>
  <r>
    <x v="1"/>
    <n v="50"/>
    <n v="2.1960000000000002"/>
    <n v="5.4240000000000004"/>
    <n v="4.1948424068767913"/>
    <n v="10.361031518624642"/>
    <n v="4.1212989493791783"/>
    <n v="11.412225405921683"/>
    <n v="7.3543457497613041E-2"/>
    <n v="1.0511938872970408"/>
    <n v="1.110417228831367"/>
  </r>
  <r>
    <x v="1"/>
    <n v="50"/>
    <n v="2.6309999999999998"/>
    <n v="5.85"/>
    <n v="5.025787965616046"/>
    <n v="11.174785100286533"/>
    <n v="4.1212989493791783"/>
    <n v="11.412225405921683"/>
    <n v="0.90448901623686773"/>
    <n v="0.23744030563515039"/>
    <n v="0.8744782792332505"/>
  </r>
  <r>
    <x v="1"/>
    <n v="50"/>
    <n v="2.6480000000000001"/>
    <n v="6.04"/>
    <n v="5.0582617000955112"/>
    <n v="11.537726838586439"/>
    <n v="4.1212989493791783"/>
    <n v="11.412225405921683"/>
    <n v="0.93696275071633295"/>
    <n v="-0.12550143266475544"/>
    <n v="0.89364980583082321"/>
  </r>
  <r>
    <x v="1"/>
    <n v="50"/>
    <n v="2.3090000000000002"/>
    <n v="6.3440000000000003"/>
    <n v="4.4106972301814711"/>
    <n v="12.118433619866286"/>
    <n v="4.1212989493791783"/>
    <n v="11.412225405921683"/>
    <n v="0.2893982808022928"/>
    <n v="-0.70620821394460265"/>
    <n v="0.58248140637414836"/>
  </r>
  <r>
    <x v="1"/>
    <n v="50"/>
    <n v="2.2400000000000002"/>
    <n v="6.1879999999999997"/>
    <n v="4.2788920725883486"/>
    <n v="11.82043935052531"/>
    <n v="4.1212989493791783"/>
    <n v="11.412225405921683"/>
    <n v="0.15759312320917029"/>
    <n v="-0.40821394460362725"/>
    <n v="0.19147421705167397"/>
  </r>
  <r>
    <x v="1"/>
    <n v="50"/>
    <n v="1.9710000000000001"/>
    <n v="6.37"/>
    <n v="3.7650429799426939"/>
    <n v="12.168099331423115"/>
    <n v="4.1212989493791783"/>
    <n v="11.412225405921683"/>
    <n v="-0.35625596943648441"/>
    <n v="-0.75587392550143129"/>
    <n v="0.69826370701207252"/>
  </r>
  <r>
    <x v="1"/>
    <n v="50"/>
    <n v="1.3029999999999999"/>
    <n v="6.2569999999999997"/>
    <n v="2.4890162368672399"/>
    <n v="11.952244508118433"/>
    <n v="4.1212989493791783"/>
    <n v="11.412225405921683"/>
    <n v="-1.6322827125119383"/>
    <n v="-0.54001910219674976"/>
    <n v="2.9559674843027146"/>
  </r>
  <r>
    <x v="1"/>
    <n v="50"/>
    <n v="2.657"/>
    <n v="7.0119999999999996"/>
    <n v="5.0754536771728755"/>
    <n v="13.394460362941738"/>
    <n v="4.1212989493791783"/>
    <n v="11.412225405921683"/>
    <n v="0.95415472779369725"/>
    <n v="-1.9822349570200544"/>
    <n v="4.8396666694033614"/>
  </r>
  <r>
    <x v="2"/>
    <n v="50"/>
    <n v="6.7270000000000003"/>
    <n v="6.6740000000000004"/>
    <n v="12.850047755491882"/>
    <n v="12.748806112702962"/>
    <n v="11.352435530085959"/>
    <n v="13.707736389684815"/>
    <n v="1.4976122254059234"/>
    <n v="0.95893027698185307"/>
    <n v="3.162389653797776"/>
  </r>
  <r>
    <x v="2"/>
    <n v="50"/>
    <n v="5.4349999999999996"/>
    <n v="6.6210000000000004"/>
    <n v="10.382043935052531"/>
    <n v="12.647564469914041"/>
    <n v="11.352435530085959"/>
    <n v="13.707736389684815"/>
    <n v="-0.97039159503342809"/>
    <n v="1.0601719197707737"/>
    <n v="2.0656243471819686"/>
  </r>
  <r>
    <x v="2"/>
    <n v="50"/>
    <n v="5.843"/>
    <n v="6.8029999999999999"/>
    <n v="11.161413562559694"/>
    <n v="12.995224450811843"/>
    <n v="11.352435530085959"/>
    <n v="13.707736389684815"/>
    <n v="-0.19102196752626455"/>
    <n v="0.71251193887297148"/>
    <n v="0.54416265511412631"/>
  </r>
  <r>
    <x v="2"/>
    <n v="50"/>
    <n v="5.9290000000000003"/>
    <n v="6.8650000000000002"/>
    <n v="11.325692454632284"/>
    <n v="13.113658070678129"/>
    <n v="11.352435530085959"/>
    <n v="13.707736389684815"/>
    <n v="-2.6743075453675047E-2"/>
    <n v="0.59407831900668562"/>
    <n v="0.35364424119853033"/>
  </r>
  <r>
    <x v="2"/>
    <n v="50"/>
    <n v="5.6859999999999999"/>
    <n v="7.0209999999999999"/>
    <n v="10.861509073543457"/>
    <n v="13.411652340019103"/>
    <n v="11.352435530085959"/>
    <n v="13.707736389684815"/>
    <n v="-0.49092645654250155"/>
    <n v="0.296084049665712"/>
    <n v="0.3286745501998245"/>
  </r>
  <r>
    <x v="2"/>
    <n v="50"/>
    <n v="5.9029999999999996"/>
    <n v="7.0990000000000002"/>
    <n v="11.276026743075453"/>
    <n v="13.56064947468959"/>
    <n v="11.352435530085959"/>
    <n v="13.707736389684815"/>
    <n v="-7.6408787010505463E-2"/>
    <n v="0.1470869149952243"/>
    <n v="2.7472863295229126E-2"/>
  </r>
  <r>
    <x v="2"/>
    <n v="50"/>
    <n v="6.077"/>
    <n v="7.4370000000000003"/>
    <n v="11.608404966571156"/>
    <n v="14.206303724928368"/>
    <n v="11.352435530085959"/>
    <n v="13.707736389684815"/>
    <n v="0.25596943648519677"/>
    <n v="-0.49856733524355334"/>
    <n v="0.3140897401864069"/>
  </r>
  <r>
    <x v="2"/>
    <n v="50"/>
    <n v="6.085"/>
    <n v="7.6020000000000003"/>
    <n v="11.623686723973258"/>
    <n v="14.521489971346707"/>
    <n v="11.352435530085959"/>
    <n v="13.707736389684815"/>
    <n v="0.27125119388729857"/>
    <n v="-0.81375358166189216"/>
    <n v="0.73577210185284259"/>
  </r>
  <r>
    <x v="2"/>
    <n v="50"/>
    <n v="5.625"/>
    <n v="7.3849999999999998"/>
    <n v="10.744985673352437"/>
    <n v="14.106972301814709"/>
    <n v="11.352435530085959"/>
    <n v="13.707736389684815"/>
    <n v="-0.60744985673352225"/>
    <n v="-0.39923591212989429"/>
    <n v="0.52838464197976531"/>
  </r>
  <r>
    <x v="2"/>
    <n v="50"/>
    <n v="6.12"/>
    <n v="8.2530000000000001"/>
    <n v="11.690544412607451"/>
    <n v="15.765042979942695"/>
    <n v="11.352435530085959"/>
    <n v="13.707736389684815"/>
    <n v="0.3381088825214924"/>
    <n v="-2.0573065902578804"/>
    <n v="4.346828022758439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20">
  <r>
    <x v="0"/>
    <n v="50"/>
    <n v="2.08"/>
    <n v="1.8260000000000001"/>
    <n v="3.9732569245463232"/>
    <n v="3.4880611270296087"/>
    <n v="3.6918815663801339"/>
    <n v="6.0227316141356262"/>
    <n v="0.2813753581661893"/>
    <n v="2.5346704871060175"/>
    <n v="6.503726570389408"/>
  </r>
  <r>
    <x v="0"/>
    <n v="50"/>
    <n v="2.0270000000000001"/>
    <n v="2.2349999999999999"/>
    <n v="3.8720152817574025"/>
    <n v="4.2693409742120343"/>
    <n v="3.6918815663801339"/>
    <n v="6.0227316141356262"/>
    <n v="0.18013371537726863"/>
    <n v="1.7533906399235919"/>
    <n v="3.1068268915872816"/>
  </r>
  <r>
    <x v="0"/>
    <n v="50"/>
    <n v="2.0099999999999998"/>
    <n v="2.5489999999999999"/>
    <n v="3.8395415472779368"/>
    <n v="4.8691499522445083"/>
    <n v="3.6918815663801339"/>
    <n v="6.0227316141356262"/>
    <n v="0.14765998089780297"/>
    <n v="1.1535816618911179"/>
    <n v="1.352554120610213"/>
  </r>
  <r>
    <x v="0"/>
    <n v="50"/>
    <n v="2.5760000000000001"/>
    <n v="2.9569999999999999"/>
    <n v="4.9207258834766003"/>
    <n v="5.6485195797516718"/>
    <n v="3.6918815663801339"/>
    <n v="6.0227316141356262"/>
    <n v="1.2288443170964665"/>
    <n v="0.37421203438395434"/>
    <n v="1.6500930023380589"/>
  </r>
  <r>
    <x v="0"/>
    <n v="50"/>
    <n v="1.4970000000000001"/>
    <n v="3.105"/>
    <n v="2.8595988538681953"/>
    <n v="5.9312320916905446"/>
    <n v="3.6918815663801339"/>
    <n v="6.0227316141356262"/>
    <n v="-0.83228271251193853"/>
    <n v="9.1499522445081638E-2"/>
    <n v="0.70106667615390816"/>
  </r>
  <r>
    <x v="0"/>
    <n v="50"/>
    <n v="1.871"/>
    <n v="3.5049999999999999"/>
    <n v="3.574021012416428"/>
    <n v="6.6953199617956072"/>
    <n v="3.6918815663801339"/>
    <n v="6.0227316141356262"/>
    <n v="-0.11786055396370587"/>
    <n v="-0.67258834765998099"/>
    <n v="0.46626619558861504"/>
  </r>
  <r>
    <x v="0"/>
    <n v="50"/>
    <n v="2.3929999999999998"/>
    <n v="3.7490000000000001"/>
    <n v="4.5711556829035338"/>
    <n v="7.1614135625596953"/>
    <n v="3.6918815663801339"/>
    <n v="6.0227316141356262"/>
    <n v="0.87927411652339993"/>
    <n v="-1.1386819484240691"/>
    <n v="2.0697195516548401"/>
  </r>
  <r>
    <x v="0"/>
    <n v="50"/>
    <n v="1.871"/>
    <n v="3.94"/>
    <n v="3.574021012416428"/>
    <n v="7.5262655205348619"/>
    <n v="3.6918815663801339"/>
    <n v="6.0227316141356262"/>
    <n v="-0.11786055396370587"/>
    <n v="-1.5035339063992357"/>
    <n v="2.2745053178727774"/>
  </r>
  <r>
    <x v="0"/>
    <n v="50"/>
    <n v="1.5489999999999999"/>
    <n v="3.6709999999999998"/>
    <n v="2.9589302769818531"/>
    <n v="7.0124164278892076"/>
    <n v="3.6918815663801339"/>
    <n v="6.0227316141356262"/>
    <n v="-0.7329512893982808"/>
    <n v="-0.98968481375358142"/>
    <n v="1.5166936232050636"/>
  </r>
  <r>
    <x v="0"/>
    <n v="50"/>
    <n v="1.4530000000000001"/>
    <n v="3.992"/>
    <n v="2.7755491881566385"/>
    <n v="7.62559694364852"/>
    <n v="3.6918815663801339"/>
    <n v="6.0227316141356262"/>
    <n v="-0.91633237822349534"/>
    <n v="-1.6028653295128938"/>
    <n v="3.4088422919352048"/>
  </r>
  <r>
    <x v="1"/>
    <n v="50"/>
    <n v="5.6559999999999997"/>
    <n v="3.68"/>
    <n v="10.804202483285579"/>
    <n v="7.0296084049665719"/>
    <n v="10.315568290353394"/>
    <n v="8.299522445081184"/>
    <n v="0.48863419293218513"/>
    <n v="1.2699140401146121"/>
    <n v="1.8514450437827046"/>
  </r>
  <r>
    <x v="1"/>
    <n v="50"/>
    <n v="6.0129999999999999"/>
    <n v="3.8180000000000001"/>
    <n v="11.486150907354347"/>
    <n v="7.2932187201528178"/>
    <n v="10.315568290353394"/>
    <n v="8.299522445081184"/>
    <n v="1.170582617000953"/>
    <n v="1.0063037249283662"/>
    <n v="2.3829108500295044"/>
  </r>
  <r>
    <x v="1"/>
    <n v="50"/>
    <n v="5.83"/>
    <n v="4.141"/>
    <n v="11.136580706781281"/>
    <n v="7.9102196752626561"/>
    <n v="10.315568290353394"/>
    <n v="8.299522445081184"/>
    <n v="0.82101241642788736"/>
    <n v="0.38930276981852785"/>
    <n v="0.82561803451713633"/>
  </r>
  <r>
    <x v="1"/>
    <n v="50"/>
    <n v="5.194"/>
    <n v="4.1319999999999997"/>
    <n v="9.9216809933142311"/>
    <n v="7.8930276981852909"/>
    <n v="10.315568290353394"/>
    <n v="8.299522445081184"/>
    <n v="-0.39388729703916248"/>
    <n v="0.40649474689589304"/>
    <n v="0.32038518202277355"/>
  </r>
  <r>
    <x v="1"/>
    <n v="50"/>
    <n v="5.0819999999999999"/>
    <n v="4.2530000000000001"/>
    <n v="9.7077363896848148"/>
    <n v="8.1241642788920725"/>
    <n v="10.315568290353394"/>
    <n v="8.299522445081184"/>
    <n v="-0.60783190066857884"/>
    <n v="0.17535816618911149"/>
    <n v="0.40021010591958511"/>
  </r>
  <r>
    <x v="1"/>
    <n v="50"/>
    <n v="4.9690000000000003"/>
    <n v="4.2190000000000003"/>
    <n v="9.491881566380135"/>
    <n v="8.0592168099331438"/>
    <n v="10.315568290353394"/>
    <n v="8.299522445081184"/>
    <n v="-0.82368672397325859"/>
    <n v="0.24030563514804015"/>
    <n v="0.73620661753370209"/>
  </r>
  <r>
    <x v="1"/>
    <n v="50"/>
    <n v="5.3339999999999996"/>
    <n v="4.4189999999999996"/>
    <n v="10.189111747851003"/>
    <n v="8.4412607449856729"/>
    <n v="10.315568290353394"/>
    <n v="8.299522445081184"/>
    <n v="-0.12645654250239069"/>
    <n v="-0.14173829990448894"/>
    <n v="3.6081002801473791E-2"/>
  </r>
  <r>
    <x v="1"/>
    <n v="50"/>
    <n v="5.6040000000000001"/>
    <n v="4.6879999999999997"/>
    <n v="10.704871060171921"/>
    <n v="8.9551098376313281"/>
    <n v="10.315568290353394"/>
    <n v="8.299522445081184"/>
    <n v="0.38930276981852785"/>
    <n v="-0.65558739255014409"/>
    <n v="0.58135147585907443"/>
  </r>
  <r>
    <x v="1"/>
    <n v="50"/>
    <n v="5.16"/>
    <n v="4.984"/>
    <n v="9.8567335243553025"/>
    <n v="9.5205348615090735"/>
    <n v="10.315568290353394"/>
    <n v="8.299522445081184"/>
    <n v="-0.45883476599809114"/>
    <n v="-1.2210124164278895"/>
    <n v="1.7014006635595968"/>
  </r>
  <r>
    <x v="1"/>
    <n v="50"/>
    <n v="5.16"/>
    <n v="5.1139999999999999"/>
    <n v="9.8567335243553025"/>
    <n v="9.7688634192932184"/>
    <n v="10.315568290353394"/>
    <n v="8.299522445081184"/>
    <n v="-0.45883476599809114"/>
    <n v="-1.4693409742120345"/>
    <n v="2.36949224098689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pivotTable1.xml><?xml version="1.0" encoding="utf-8"?>
<pivotTableDefinition xmlns="http://schemas.openxmlformats.org/spreadsheetml/2006/main" name="PivotTable2" cacheId="9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P1:T4" firstHeaderRow="0" firstDataRow="1" firstDataCol="1"/>
  <pivotFields count="11">
    <pivotField axis="axisRow" dataField="1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Radius^2" fld="10" baseField="0" baseItem="0" numFmtId="2"/>
    <dataField name="Count of Group" fld="0" subtotal="count" baseField="2" baseItem="0"/>
    <dataField name="StdDev X" fld="8" subtotal="stdDev" baseField="0" baseItem="0" numFmtId="2"/>
    <dataField name="StdDev Y" fld="9" subtotal="stdDev" baseField="0" baseItem="0" numFmtId="2"/>
  </dataFields>
  <formats count="11">
    <format dxfId="10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6">
      <pivotArea grandRow="1" outline="0" collapsedLevelsAreSubtotals="1" fieldPosition="0"/>
    </format>
    <format dxfId="105">
      <pivotArea dataOnly="0" labelOnly="1" grandRow="1" outline="0" fieldPosition="0"/>
    </format>
    <format dxfId="104">
      <pivotArea field="0" type="button" dataOnly="0" labelOnly="1" outline="0" axis="axisRow" fieldPosition="0"/>
    </format>
    <format dxfId="10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2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10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0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99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0.xml><?xml version="1.0" encoding="utf-8"?>
<pivotTableDefinition xmlns="http://schemas.openxmlformats.org/spreadsheetml/2006/main" name="PivotTable2" cacheId="10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P1:T3" firstHeaderRow="0" firstDataRow="1" firstDataCol="1"/>
  <pivotFields count="11">
    <pivotField axis="axisRow" dataField="1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Radius^2" fld="10" baseField="0" baseItem="0" numFmtId="2"/>
    <dataField name="Count of Group" fld="0" subtotal="count" baseField="2" baseItem="0"/>
    <dataField name="StdDev X" fld="8" subtotal="stdDev" baseField="0" baseItem="0" numFmtId="2"/>
    <dataField name="StdDev Y" fld="9" subtotal="stdDev" baseField="0" baseItem="0" numFmtId="2"/>
  </dataFields>
  <formats count="11">
    <format dxfId="1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field="0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0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le2" cacheId="9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P1:T3" firstHeaderRow="0" firstDataRow="1" firstDataCol="1"/>
  <pivotFields count="11">
    <pivotField axis="axisRow" dataField="1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Radius^2" fld="10" baseField="0" baseItem="0" numFmtId="2"/>
    <dataField name="Count of Group" fld="0" subtotal="count" baseField="2" baseItem="0"/>
    <dataField name="StdDev X" fld="8" subtotal="stdDev" baseField="0" baseItem="0" numFmtId="2"/>
    <dataField name="StdDev Y" fld="9" subtotal="stdDev" baseField="0" baseItem="0" numFmtId="2"/>
  </dataFields>
  <formats count="11">
    <format dxfId="9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5">
      <pivotArea grandRow="1" outline="0" collapsedLevelsAreSubtotals="1" fieldPosition="0"/>
    </format>
    <format dxfId="94">
      <pivotArea dataOnly="0" labelOnly="1" grandRow="1" outline="0" fieldPosition="0"/>
    </format>
    <format dxfId="93">
      <pivotArea field="0" type="button" dataOnly="0" labelOnly="1" outline="0" axis="axisRow" fieldPosition="0"/>
    </format>
    <format dxfId="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1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9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88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le2" cacheId="9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P1:T3" firstHeaderRow="0" firstDataRow="1" firstDataCol="1"/>
  <pivotFields count="11">
    <pivotField axis="axisRow" dataField="1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Radius^2" fld="10" baseField="0" baseItem="0" numFmtId="2"/>
    <dataField name="Count of Group" fld="0" subtotal="count" baseField="2" baseItem="0"/>
    <dataField name="StdDev X" fld="8" subtotal="stdDev" baseField="0" baseItem="0" numFmtId="2"/>
    <dataField name="StdDev Y" fld="9" subtotal="stdDev" baseField="0" baseItem="0" numFmtId="2"/>
  </dataFields>
  <formats count="11">
    <format dxfId="8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4">
      <pivotArea grandRow="1" outline="0" collapsedLevelsAreSubtotals="1" fieldPosition="0"/>
    </format>
    <format dxfId="83">
      <pivotArea dataOnly="0" labelOnly="1" grandRow="1" outline="0" fieldPosition="0"/>
    </format>
    <format dxfId="82">
      <pivotArea field="0" type="button" dataOnly="0" labelOnly="1" outline="0" axis="axisRow" fieldPosition="0"/>
    </format>
    <format dxfId="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0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7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8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77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PivotTable2" cacheId="9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P1:T3" firstHeaderRow="0" firstDataRow="1" firstDataCol="1"/>
  <pivotFields count="11">
    <pivotField axis="axisRow" dataField="1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Radius^2" fld="10" baseField="0" baseItem="0" numFmtId="2"/>
    <dataField name="Count of Group" fld="0" subtotal="count" baseField="2" baseItem="0"/>
    <dataField name="StdDev X" fld="8" subtotal="stdDev" baseField="0" baseItem="0" numFmtId="2"/>
    <dataField name="StdDev Y" fld="9" subtotal="stdDev" baseField="0" baseItem="0" numFmtId="2"/>
  </dataFields>
  <formats count="11">
    <format dxfId="7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3">
      <pivotArea grandRow="1" outline="0" collapsedLevelsAreSubtotals="1" fieldPosition="0"/>
    </format>
    <format dxfId="72">
      <pivotArea dataOnly="0" labelOnly="1" grandRow="1" outline="0" fieldPosition="0"/>
    </format>
    <format dxfId="71">
      <pivotArea field="0" type="button" dataOnly="0" labelOnly="1" outline="0" axis="axisRow" fieldPosition="0"/>
    </format>
    <format dxfId="7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9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6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7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66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PivotTable2" cacheId="9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P1:T3" firstHeaderRow="0" firstDataRow="1" firstDataCol="1"/>
  <pivotFields count="11">
    <pivotField axis="axisRow" dataField="1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Radius^2" fld="10" baseField="0" baseItem="0" numFmtId="2"/>
    <dataField name="Count of Group" fld="0" subtotal="count" baseField="2" baseItem="0"/>
    <dataField name="StdDev X" fld="8" subtotal="stdDev" baseField="0" baseItem="0" numFmtId="2"/>
    <dataField name="StdDev Y" fld="9" subtotal="stdDev" baseField="0" baseItem="0" numFmtId="2"/>
  </dataFields>
  <formats count="11">
    <format dxfId="6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2">
      <pivotArea grandRow="1" outline="0" collapsedLevelsAreSubtotals="1" fieldPosition="0"/>
    </format>
    <format dxfId="61">
      <pivotArea dataOnly="0" labelOnly="1" grandRow="1" outline="0" fieldPosition="0"/>
    </format>
    <format dxfId="60">
      <pivotArea field="0" type="button" dataOnly="0" labelOnly="1" outline="0" axis="axisRow" fieldPosition="0"/>
    </format>
    <format dxfId="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8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5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6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55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6.xml><?xml version="1.0" encoding="utf-8"?>
<pivotTableDefinition xmlns="http://schemas.openxmlformats.org/spreadsheetml/2006/main" name="PivotTable2" cacheId="10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P1:T4" firstHeaderRow="0" firstDataRow="1" firstDataCol="1"/>
  <pivotFields count="11">
    <pivotField axis="axisRow" dataField="1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Radius^2" fld="10" baseField="0" baseItem="0" numFmtId="2"/>
    <dataField name="Count of Group" fld="0" subtotal="count" baseField="2" baseItem="0"/>
    <dataField name="StdDev X" fld="8" subtotal="stdDev" baseField="0" baseItem="0" numFmtId="2"/>
    <dataField name="StdDev Y" fld="9" subtotal="stdDev" baseField="0" baseItem="0" numFmtId="2"/>
  </dataFields>
  <formats count="11">
    <format dxfId="5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1">
      <pivotArea grandRow="1" outline="0" collapsedLevelsAreSubtotals="1" fieldPosition="0"/>
    </format>
    <format dxfId="50">
      <pivotArea dataOnly="0" labelOnly="1" grandRow="1" outline="0" fieldPosition="0"/>
    </format>
    <format dxfId="49">
      <pivotArea field="0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44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7.xml><?xml version="1.0" encoding="utf-8"?>
<pivotTableDefinition xmlns="http://schemas.openxmlformats.org/spreadsheetml/2006/main" name="PivotTable2" cacheId="9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P1:T3" firstHeaderRow="0" firstDataRow="1" firstDataCol="1"/>
  <pivotFields count="11">
    <pivotField axis="axisRow" dataField="1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Radius^2" fld="10" baseField="0" baseItem="0" numFmtId="2"/>
    <dataField name="Count of Group" fld="0" subtotal="count" baseField="2" baseItem="0"/>
    <dataField name="StdDev X" fld="8" subtotal="stdDev" baseField="0" baseItem="0" numFmtId="2"/>
    <dataField name="StdDev Y" fld="9" subtotal="stdDev" baseField="0" baseItem="0" numFmtId="2"/>
  </dataFields>
  <formats count="11">
    <format dxfId="4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0">
      <pivotArea grandRow="1" outline="0" collapsedLevelsAreSubtotals="1" fieldPosition="0"/>
    </format>
    <format dxfId="39">
      <pivotArea dataOnly="0" labelOnly="1" grandRow="1" outline="0" fieldPosition="0"/>
    </format>
    <format dxfId="38">
      <pivotArea field="0" type="button" dataOnly="0" labelOnly="1" outline="0" axis="axisRow" fieldPosition="0"/>
    </format>
    <format dxfId="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3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33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8.xml><?xml version="1.0" encoding="utf-8"?>
<pivotTableDefinition xmlns="http://schemas.openxmlformats.org/spreadsheetml/2006/main" name="PivotTable2" cacheId="10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P1:T5" firstHeaderRow="0" firstDataRow="1" firstDataCol="1"/>
  <pivotFields count="11">
    <pivotField axis="axisRow" dataField="1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Radius^2" fld="10" baseField="0" baseItem="0" numFmtId="2"/>
    <dataField name="Count of Group" fld="0" subtotal="count" baseField="2" baseItem="0"/>
    <dataField name="StdDev X" fld="8" subtotal="stdDev" baseField="0" baseItem="0" numFmtId="2"/>
    <dataField name="StdDev Y" fld="9" subtotal="stdDev" baseField="0" baseItem="0" numFmtId="2"/>
  </dataFields>
  <formats count="11">
    <format dxfId="3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">
      <pivotArea grandRow="1" outline="0" collapsedLevelsAreSubtotals="1" fieldPosition="0"/>
    </format>
    <format dxfId="28">
      <pivotArea dataOnly="0" labelOnly="1" grandRow="1" outline="0" fieldPosition="0"/>
    </format>
    <format dxfId="27">
      <pivotArea field="0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22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9.xml><?xml version="1.0" encoding="utf-8"?>
<pivotTableDefinition xmlns="http://schemas.openxmlformats.org/spreadsheetml/2006/main" name="PivotTable2" cacheId="10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P1:T4" firstHeaderRow="0" firstDataRow="1" firstDataCol="1"/>
  <pivotFields count="11">
    <pivotField axis="axisRow" dataField="1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Radius^2" fld="10" baseField="0" baseItem="0" numFmtId="2"/>
    <dataField name="Count of Group" fld="0" subtotal="count" baseField="2" baseItem="0"/>
    <dataField name="StdDev X" fld="8" subtotal="stdDev" baseField="0" baseItem="0" numFmtId="2"/>
    <dataField name="StdDev Y" fld="9" subtotal="stdDev" baseField="0" baseItem="0" numFmtId="2"/>
  </dataFields>
  <formats count="11">
    <format dxfId="2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grandRow="1" outline="0" collapsedLevelsAreSubtotals="1" fieldPosition="0"/>
    </format>
    <format dxfId="17">
      <pivotArea dataOnly="0" labelOnly="1" grandRow="1" outline="0" fieldPosition="0"/>
    </format>
    <format dxfId="16">
      <pivotArea field="0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RowHeight="12.5" x14ac:dyDescent="0.25"/>
  <cols>
    <col min="1" max="1" width="6.26953125" bestFit="1" customWidth="1"/>
    <col min="2" max="2" width="8.26953125" style="50" bestFit="1" customWidth="1"/>
    <col min="5" max="5" width="8.7265625" style="26"/>
    <col min="11" max="11" width="8.7265625" style="50"/>
    <col min="12" max="12" width="8.7265625" style="28"/>
    <col min="13" max="13" width="18.36328125" bestFit="1" customWidth="1"/>
    <col min="16" max="16" width="11.08984375" customWidth="1"/>
    <col min="17" max="17" width="10.90625" customWidth="1"/>
    <col min="18" max="18" width="11.54296875" style="46" customWidth="1"/>
    <col min="19" max="20" width="8.7265625" style="46" customWidth="1"/>
    <col min="21" max="22" width="8.7265625" style="21"/>
  </cols>
  <sheetData>
    <row r="1" spans="1:25" ht="13.5" thickBot="1" x14ac:dyDescent="0.35">
      <c r="B1" s="1" t="s">
        <v>0</v>
      </c>
      <c r="C1" s="60" t="s">
        <v>1</v>
      </c>
      <c r="D1" s="61"/>
      <c r="E1" s="62" t="s">
        <v>2</v>
      </c>
      <c r="F1" s="63"/>
      <c r="G1" s="63"/>
      <c r="H1" s="63"/>
      <c r="I1" s="63"/>
      <c r="J1" s="63"/>
      <c r="K1" s="63"/>
      <c r="L1" s="2"/>
      <c r="M1" s="3" t="s">
        <v>3</v>
      </c>
      <c r="N1" s="4">
        <f>ROUND(10*N3,0)</f>
        <v>17</v>
      </c>
      <c r="P1" s="51" t="s">
        <v>4</v>
      </c>
      <c r="Q1" s="5" t="s">
        <v>5</v>
      </c>
      <c r="R1" s="6" t="s">
        <v>6</v>
      </c>
      <c r="S1" t="s">
        <v>7</v>
      </c>
      <c r="T1" t="s">
        <v>8</v>
      </c>
      <c r="U1" s="7" t="s">
        <v>9</v>
      </c>
      <c r="V1" s="7" t="s">
        <v>10</v>
      </c>
      <c r="W1" s="8" t="s">
        <v>11</v>
      </c>
      <c r="X1" s="9" t="s">
        <v>12</v>
      </c>
      <c r="Y1" s="10">
        <v>0.8</v>
      </c>
    </row>
    <row r="2" spans="1:25" ht="13" x14ac:dyDescent="0.3">
      <c r="A2" s="11" t="s">
        <v>4</v>
      </c>
      <c r="B2" s="12" t="s">
        <v>13</v>
      </c>
      <c r="C2" s="11" t="s">
        <v>14</v>
      </c>
      <c r="D2" s="11" t="s">
        <v>15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19</v>
      </c>
      <c r="K2" s="14" t="s">
        <v>20</v>
      </c>
      <c r="L2" s="15"/>
      <c r="M2" s="16" t="s">
        <v>21</v>
      </c>
      <c r="N2" s="17">
        <f>SQRT(GETPIVOTDATA("Sum Radius^2",$P$1)/CHIINV(0.5,2*GETPIVOTDATA("Count of Group",$P$1)-2*COUNT(P:P)))</f>
        <v>1.4850457048203567</v>
      </c>
      <c r="P2">
        <v>1</v>
      </c>
      <c r="Q2" s="18">
        <v>91.823776198109101</v>
      </c>
      <c r="R2" s="19">
        <v>17</v>
      </c>
      <c r="S2" s="20">
        <v>2.0763872337408817</v>
      </c>
      <c r="T2" s="20">
        <v>1.1948230278747169</v>
      </c>
      <c r="U2" s="21">
        <f>2*R2-1</f>
        <v>33</v>
      </c>
      <c r="V2" s="21">
        <f>1/EXP(LN(SQRT(2/(U2-1))) + GAMMALN(U2/2) - GAMMALN((U2-1)/2))</f>
        <v>1.0078418171658692</v>
      </c>
      <c r="W2" s="22">
        <f>V2*SQRT(Q2/(2*(R2-1)))</f>
        <v>1.7072415008127031</v>
      </c>
      <c r="X2" s="23">
        <f>SQRT(Q2/CHIINV((1-Y$1)/2,2*R2-2))</f>
        <v>1.4684208707306494</v>
      </c>
      <c r="Y2" s="23">
        <f>SQRT(Q2/CHIINV(0.5+Y$1/2,2*R2-2))</f>
        <v>2.0305405624984889</v>
      </c>
    </row>
    <row r="3" spans="1:25" ht="13" x14ac:dyDescent="0.3">
      <c r="A3" s="24">
        <v>1</v>
      </c>
      <c r="B3" s="25">
        <v>25</v>
      </c>
      <c r="C3" s="24">
        <v>4.5579999999999998</v>
      </c>
      <c r="D3" s="24">
        <v>1.9850000000000001</v>
      </c>
      <c r="E3" s="26">
        <f>(C3)/(0.01047*$B3)</f>
        <v>17.413562559694366</v>
      </c>
      <c r="F3" s="26">
        <f>(D3)/(0.01047*$B3)</f>
        <v>7.5835721107927423</v>
      </c>
      <c r="G3" s="26">
        <f t="shared" ref="G3:H29" si="0">AVERAGEIF($A:$A,"="&amp;$A3,E:E)</f>
        <v>21.37783021518063</v>
      </c>
      <c r="H3" s="26">
        <f t="shared" si="0"/>
        <v>8.471711893926626</v>
      </c>
      <c r="I3" s="26">
        <f>E3-G3</f>
        <v>-3.9642676554862639</v>
      </c>
      <c r="J3">
        <f>H3-F3</f>
        <v>0.88813978313388375</v>
      </c>
      <c r="K3" s="27">
        <f>POWER(E3-G3,2)+POWER(F3-H3,2)</f>
        <v>16.504210318719661</v>
      </c>
      <c r="M3" s="29" t="s">
        <v>22</v>
      </c>
      <c r="N3" s="30">
        <f>SQRT(GETPIVOTDATA("Sum Radius^2",$P$1)/CHIINV(0.9,2*GETPIVOTDATA("Count of Group",$P$1)-2*COUNT(P:P)))</f>
        <v>1.699072169890502</v>
      </c>
      <c r="P3">
        <v>2</v>
      </c>
      <c r="Q3" s="18">
        <v>16.977556652061793</v>
      </c>
      <c r="R3" s="19">
        <v>10</v>
      </c>
      <c r="S3" s="20">
        <v>0.88700440355380483</v>
      </c>
      <c r="T3" s="20">
        <v>1.0486268982047811</v>
      </c>
      <c r="U3" s="21">
        <f>2*R3-1</f>
        <v>19</v>
      </c>
      <c r="V3" s="21">
        <f>1/EXP(LN(SQRT(2/(U3-1))) + GAMMALN(U3/2) - GAMMALN((U3-1)/2))</f>
        <v>1.0139785697898209</v>
      </c>
      <c r="W3" s="22">
        <f>V3*SQRT(Q3/(2*(R3-1)))</f>
        <v>0.98475936131886688</v>
      </c>
      <c r="X3" s="23">
        <f>SQRT(Q3/CHIINV((1-Y$1)/2,2*R3-2))</f>
        <v>0.80823801733965495</v>
      </c>
      <c r="Y3" s="23">
        <f>SQRT(Q3/CHIINV(0.5+Y$1/2,2*R3-2))</f>
        <v>1.2500402746001107</v>
      </c>
    </row>
    <row r="4" spans="1:25" ht="13" x14ac:dyDescent="0.3">
      <c r="A4" s="24">
        <v>1</v>
      </c>
      <c r="B4" s="25">
        <v>25</v>
      </c>
      <c r="C4" s="24">
        <v>4.6929999999999996</v>
      </c>
      <c r="D4" s="24">
        <v>1.823</v>
      </c>
      <c r="E4" s="26">
        <f t="shared" ref="E4:F29" si="1">(C4)/(0.01047*$B4)</f>
        <v>17.929321872015283</v>
      </c>
      <c r="F4" s="26">
        <f t="shared" si="1"/>
        <v>6.9646609360076415</v>
      </c>
      <c r="G4" s="26">
        <f t="shared" si="0"/>
        <v>21.37783021518063</v>
      </c>
      <c r="H4" s="26">
        <f t="shared" si="0"/>
        <v>8.471711893926626</v>
      </c>
      <c r="I4" s="26">
        <f t="shared" ref="I4:I29" si="2">E4-G4</f>
        <v>-3.4485083431653472</v>
      </c>
      <c r="J4">
        <f t="shared" ref="J4:J29" si="3">H4-F4</f>
        <v>1.5070509579189846</v>
      </c>
      <c r="K4" s="27">
        <f t="shared" ref="K4:K29" si="4">POWER(E4-G4,2)+POWER(F4-H4,2)</f>
        <v>14.163412382645538</v>
      </c>
      <c r="P4" s="31" t="s">
        <v>23</v>
      </c>
      <c r="Q4" s="32">
        <v>108.80133285017091</v>
      </c>
      <c r="R4" s="33">
        <v>27</v>
      </c>
      <c r="S4" s="20">
        <v>1.7104108190543035</v>
      </c>
      <c r="T4" s="20">
        <v>1.1221236465494708</v>
      </c>
      <c r="U4" s="36">
        <f>2*R4+1-2*COUNT(P:P)</f>
        <v>51</v>
      </c>
      <c r="V4" s="21">
        <f>1/EXP(LN(SQRT(2/(U4-1))) + GAMMALN(U4/2) - GAMMALN((U4-1)/2))</f>
        <v>1.0050121860159029</v>
      </c>
      <c r="W4" s="37">
        <f>V4*SQRT(Q4/(2*(R4-COUNT(P:P))))</f>
        <v>1.4825298054086011</v>
      </c>
      <c r="X4" s="38">
        <f>SQRT(Q4/CHIINV((1-Y$1)/2,2*R4-2*COUNT(P:P)))</f>
        <v>1.3124161505377538</v>
      </c>
      <c r="Y4" s="39">
        <f>SQRT(Q4/CHIINV(0.5+Y$1/2,2*R4-2*COUNT(P:P)))</f>
        <v>1.699072169890502</v>
      </c>
    </row>
    <row r="5" spans="1:25" ht="13" x14ac:dyDescent="0.3">
      <c r="A5" s="24">
        <v>1</v>
      </c>
      <c r="B5" s="25">
        <v>25</v>
      </c>
      <c r="C5" s="24">
        <v>4.9569999999999999</v>
      </c>
      <c r="D5" s="24">
        <v>2.5790000000000002</v>
      </c>
      <c r="E5" s="26">
        <f t="shared" si="1"/>
        <v>18.937917860553963</v>
      </c>
      <c r="F5" s="26">
        <f t="shared" si="1"/>
        <v>9.8529130850047775</v>
      </c>
      <c r="G5" s="26">
        <f t="shared" si="0"/>
        <v>21.37783021518063</v>
      </c>
      <c r="H5" s="26">
        <f t="shared" si="0"/>
        <v>8.471711893926626</v>
      </c>
      <c r="I5" s="26">
        <f t="shared" si="2"/>
        <v>-2.4399123546266672</v>
      </c>
      <c r="J5">
        <f t="shared" si="3"/>
        <v>-1.3812011910781514</v>
      </c>
      <c r="K5" s="27">
        <f t="shared" si="4"/>
        <v>7.860889028495551</v>
      </c>
      <c r="M5" s="34" t="s">
        <v>24</v>
      </c>
      <c r="N5" s="35" t="s">
        <v>2</v>
      </c>
      <c r="R5"/>
      <c r="S5"/>
      <c r="T5"/>
      <c r="U5" s="36"/>
      <c r="V5" s="36"/>
      <c r="W5" s="37"/>
      <c r="X5" s="38"/>
      <c r="Y5" s="39"/>
    </row>
    <row r="6" spans="1:25" ht="13" x14ac:dyDescent="0.3">
      <c r="A6" s="24">
        <v>1</v>
      </c>
      <c r="B6" s="25">
        <v>25</v>
      </c>
      <c r="C6" s="24">
        <v>6.5839999999999996</v>
      </c>
      <c r="D6" s="24">
        <v>2.403</v>
      </c>
      <c r="E6" s="26">
        <f t="shared" si="1"/>
        <v>25.153772683858644</v>
      </c>
      <c r="F6" s="26">
        <f t="shared" si="1"/>
        <v>9.1805157593123212</v>
      </c>
      <c r="G6" s="26">
        <f t="shared" si="0"/>
        <v>21.37783021518063</v>
      </c>
      <c r="H6" s="26">
        <f t="shared" si="0"/>
        <v>8.471711893926626</v>
      </c>
      <c r="I6" s="26">
        <f t="shared" si="2"/>
        <v>3.7759424686780143</v>
      </c>
      <c r="J6">
        <f t="shared" si="3"/>
        <v>-0.70880386538569518</v>
      </c>
      <c r="K6" s="27">
        <f t="shared" si="4"/>
        <v>14.760144446351919</v>
      </c>
      <c r="M6" s="40">
        <f>1-EXP(-POWER(N6/$N$3,2)/2)</f>
        <v>0.15903008067125013</v>
      </c>
      <c r="N6" s="41">
        <v>1</v>
      </c>
      <c r="R6" s="42"/>
      <c r="S6" s="55" t="s">
        <v>31</v>
      </c>
      <c r="T6" s="56">
        <f>AVERAGE(T9:T35)</f>
        <v>909.66666666666663</v>
      </c>
      <c r="Y6" s="43"/>
    </row>
    <row r="7" spans="1:25" ht="13" x14ac:dyDescent="0.3">
      <c r="A7" s="24">
        <v>1</v>
      </c>
      <c r="B7" s="25">
        <v>25</v>
      </c>
      <c r="C7" s="24">
        <v>6.4489999999999998</v>
      </c>
      <c r="D7" s="24">
        <v>2.593</v>
      </c>
      <c r="E7" s="26">
        <f t="shared" si="1"/>
        <v>24.638013371537728</v>
      </c>
      <c r="F7" s="26">
        <f t="shared" si="1"/>
        <v>9.9063992359121311</v>
      </c>
      <c r="G7" s="26">
        <f t="shared" si="0"/>
        <v>21.37783021518063</v>
      </c>
      <c r="H7" s="26">
        <f t="shared" si="0"/>
        <v>8.471711893926626</v>
      </c>
      <c r="I7" s="26">
        <f t="shared" si="2"/>
        <v>3.2601831563570975</v>
      </c>
      <c r="J7">
        <f t="shared" si="3"/>
        <v>-1.4346873419855051</v>
      </c>
      <c r="K7" s="27">
        <f t="shared" si="4"/>
        <v>12.687121982247962</v>
      </c>
      <c r="M7" s="40">
        <f t="shared" ref="M7:M8" si="5">1-EXP(-POWER(N7/$N$3,2)/2)</f>
        <v>0.39380055479517662</v>
      </c>
      <c r="N7" s="41">
        <v>1.7</v>
      </c>
      <c r="R7" s="42"/>
      <c r="S7" s="55" t="s">
        <v>32</v>
      </c>
      <c r="T7" s="57">
        <f>STDEV(T9:T35)</f>
        <v>15.028178660308567</v>
      </c>
      <c r="U7" s="44"/>
      <c r="V7" s="44"/>
      <c r="W7" s="44"/>
      <c r="X7" s="44"/>
      <c r="Y7" s="45"/>
    </row>
    <row r="8" spans="1:25" ht="13" x14ac:dyDescent="0.3">
      <c r="A8" s="24">
        <v>1</v>
      </c>
      <c r="B8" s="25">
        <v>25</v>
      </c>
      <c r="C8" s="24">
        <v>5.5570000000000004</v>
      </c>
      <c r="D8" s="24">
        <v>2.714</v>
      </c>
      <c r="E8" s="26">
        <f t="shared" si="1"/>
        <v>21.230181470869152</v>
      </c>
      <c r="F8" s="26">
        <f t="shared" si="1"/>
        <v>10.368672397325692</v>
      </c>
      <c r="G8" s="26">
        <f t="shared" si="0"/>
        <v>21.37783021518063</v>
      </c>
      <c r="H8" s="26">
        <f t="shared" si="0"/>
        <v>8.471711893926626</v>
      </c>
      <c r="I8" s="26">
        <f t="shared" si="2"/>
        <v>-0.14764874431147845</v>
      </c>
      <c r="J8">
        <f t="shared" si="3"/>
        <v>-1.8969605033990664</v>
      </c>
      <c r="K8" s="27">
        <f t="shared" si="4"/>
        <v>3.6202593031527956</v>
      </c>
      <c r="M8" s="40">
        <f t="shared" si="5"/>
        <v>0.78961045417998732</v>
      </c>
      <c r="N8" s="41">
        <v>3</v>
      </c>
      <c r="S8" s="53" t="s">
        <v>29</v>
      </c>
      <c r="T8" s="54" t="s">
        <v>30</v>
      </c>
    </row>
    <row r="9" spans="1:25" x14ac:dyDescent="0.25">
      <c r="A9" s="24">
        <v>1</v>
      </c>
      <c r="B9" s="25">
        <v>25</v>
      </c>
      <c r="C9" s="24">
        <v>5.43</v>
      </c>
      <c r="D9" s="24">
        <v>2.6190000000000002</v>
      </c>
      <c r="E9" s="26">
        <f t="shared" si="1"/>
        <v>20.744985673352435</v>
      </c>
      <c r="F9" s="26">
        <f t="shared" si="1"/>
        <v>10.00573065902579</v>
      </c>
      <c r="G9" s="26">
        <f t="shared" si="0"/>
        <v>21.37783021518063</v>
      </c>
      <c r="H9" s="26">
        <f t="shared" si="0"/>
        <v>8.471711893926626</v>
      </c>
      <c r="I9" s="26">
        <f t="shared" si="2"/>
        <v>-0.63284454182819516</v>
      </c>
      <c r="J9">
        <f t="shared" si="3"/>
        <v>-1.5340187650991641</v>
      </c>
      <c r="K9" s="27">
        <f t="shared" si="4"/>
        <v>2.7537057857981031</v>
      </c>
      <c r="M9" s="29" t="s">
        <v>25</v>
      </c>
      <c r="N9" s="47">
        <f>N3*SQRT(LN(4))</f>
        <v>2.0005046018061923</v>
      </c>
      <c r="S9">
        <v>17</v>
      </c>
      <c r="T9">
        <v>927</v>
      </c>
    </row>
    <row r="10" spans="1:25" x14ac:dyDescent="0.25">
      <c r="A10" s="24">
        <v>1</v>
      </c>
      <c r="B10" s="25">
        <v>25</v>
      </c>
      <c r="C10" s="24">
        <v>5.274</v>
      </c>
      <c r="D10" s="24">
        <v>2.234</v>
      </c>
      <c r="E10" s="26">
        <f t="shared" si="1"/>
        <v>20.148997134670488</v>
      </c>
      <c r="F10" s="26">
        <f t="shared" si="1"/>
        <v>8.5348615090735436</v>
      </c>
      <c r="G10" s="26">
        <f t="shared" si="0"/>
        <v>21.37783021518063</v>
      </c>
      <c r="H10" s="26">
        <f t="shared" si="0"/>
        <v>8.471711893926626</v>
      </c>
      <c r="I10" s="26">
        <f t="shared" si="2"/>
        <v>-1.2288330805101424</v>
      </c>
      <c r="J10">
        <f t="shared" si="3"/>
        <v>-6.3149615146917526E-2</v>
      </c>
      <c r="K10" s="27">
        <f t="shared" si="4"/>
        <v>1.5140186136492499</v>
      </c>
      <c r="S10">
        <v>16</v>
      </c>
      <c r="T10">
        <v>888</v>
      </c>
    </row>
    <row r="11" spans="1:25" x14ac:dyDescent="0.25">
      <c r="A11" s="24">
        <v>1</v>
      </c>
      <c r="B11" s="25">
        <v>25</v>
      </c>
      <c r="C11" s="24">
        <v>5.4089999999999998</v>
      </c>
      <c r="D11" s="24">
        <v>2.4849999999999999</v>
      </c>
      <c r="E11" s="26">
        <f t="shared" si="1"/>
        <v>20.664756446991404</v>
      </c>
      <c r="F11" s="26">
        <f t="shared" si="1"/>
        <v>9.4937917860553966</v>
      </c>
      <c r="G11" s="26">
        <f t="shared" si="0"/>
        <v>21.37783021518063</v>
      </c>
      <c r="H11" s="26">
        <f t="shared" si="0"/>
        <v>8.471711893926626</v>
      </c>
      <c r="I11" s="26">
        <f t="shared" si="2"/>
        <v>-0.71307376818922563</v>
      </c>
      <c r="J11">
        <f t="shared" si="3"/>
        <v>-1.0220798921287706</v>
      </c>
      <c r="K11" s="27">
        <f t="shared" si="4"/>
        <v>1.5531215047735407</v>
      </c>
      <c r="S11">
        <v>15</v>
      </c>
      <c r="T11">
        <v>911</v>
      </c>
    </row>
    <row r="12" spans="1:25" x14ac:dyDescent="0.25">
      <c r="A12" s="24">
        <v>1</v>
      </c>
      <c r="B12" s="25">
        <v>25</v>
      </c>
      <c r="C12" s="48">
        <v>5.774</v>
      </c>
      <c r="D12" s="48">
        <v>2.4169999999999998</v>
      </c>
      <c r="E12" s="49">
        <f t="shared" si="1"/>
        <v>22.059216809933144</v>
      </c>
      <c r="F12" s="49">
        <f t="shared" si="1"/>
        <v>9.2340019102196749</v>
      </c>
      <c r="G12" s="49">
        <f t="shared" si="0"/>
        <v>21.37783021518063</v>
      </c>
      <c r="H12" s="49">
        <f t="shared" si="0"/>
        <v>8.471711893926626</v>
      </c>
      <c r="I12" s="49">
        <f t="shared" si="2"/>
        <v>0.68138659475251373</v>
      </c>
      <c r="J12">
        <f t="shared" si="3"/>
        <v>-0.76229001629304882</v>
      </c>
      <c r="K12" s="49">
        <f t="shared" si="4"/>
        <v>1.045373760448483</v>
      </c>
      <c r="S12">
        <v>14</v>
      </c>
      <c r="T12">
        <v>924</v>
      </c>
    </row>
    <row r="13" spans="1:25" x14ac:dyDescent="0.25">
      <c r="A13" s="24">
        <v>1</v>
      </c>
      <c r="B13" s="25">
        <v>25</v>
      </c>
      <c r="C13" s="24">
        <v>6.1379999999999999</v>
      </c>
      <c r="D13" s="24">
        <v>2.1259999999999999</v>
      </c>
      <c r="E13" s="26">
        <f t="shared" si="1"/>
        <v>23.449856733524356</v>
      </c>
      <c r="F13" s="26">
        <f t="shared" si="1"/>
        <v>8.1222540592168109</v>
      </c>
      <c r="G13" s="26">
        <f t="shared" si="0"/>
        <v>21.37783021518063</v>
      </c>
      <c r="H13" s="26">
        <f t="shared" si="0"/>
        <v>8.471711893926626</v>
      </c>
      <c r="I13" s="26">
        <f t="shared" si="2"/>
        <v>2.0720265183437263</v>
      </c>
      <c r="J13">
        <f t="shared" si="3"/>
        <v>0.34945783470981517</v>
      </c>
      <c r="K13" s="27">
        <f t="shared" si="4"/>
        <v>4.4154146709596969</v>
      </c>
      <c r="S13">
        <v>13</v>
      </c>
      <c r="T13">
        <v>938</v>
      </c>
    </row>
    <row r="14" spans="1:25" x14ac:dyDescent="0.25">
      <c r="A14" s="24">
        <v>1</v>
      </c>
      <c r="B14" s="25">
        <v>25</v>
      </c>
      <c r="C14" s="24">
        <v>5.9080000000000004</v>
      </c>
      <c r="D14" s="24">
        <v>2.1459999999999999</v>
      </c>
      <c r="E14" s="26">
        <f t="shared" si="1"/>
        <v>22.571155682903537</v>
      </c>
      <c r="F14" s="26">
        <f t="shared" si="1"/>
        <v>8.1986628462273163</v>
      </c>
      <c r="G14" s="26">
        <f t="shared" si="0"/>
        <v>21.37783021518063</v>
      </c>
      <c r="H14" s="26">
        <f t="shared" si="0"/>
        <v>8.471711893926626</v>
      </c>
      <c r="I14" s="26">
        <f t="shared" si="2"/>
        <v>1.1933254677229073</v>
      </c>
      <c r="J14">
        <f t="shared" si="3"/>
        <v>0.27304904769930971</v>
      </c>
      <c r="K14" s="27">
        <f t="shared" si="4"/>
        <v>1.4985814543655953</v>
      </c>
      <c r="S14">
        <v>12</v>
      </c>
      <c r="T14">
        <v>900</v>
      </c>
    </row>
    <row r="15" spans="1:25" x14ac:dyDescent="0.25">
      <c r="A15" s="24">
        <v>1</v>
      </c>
      <c r="B15" s="25">
        <v>25</v>
      </c>
      <c r="C15" s="24">
        <v>5.915</v>
      </c>
      <c r="D15" s="24">
        <v>1.9239999999999999</v>
      </c>
      <c r="E15" s="26">
        <f t="shared" si="1"/>
        <v>22.597898758357214</v>
      </c>
      <c r="F15" s="26">
        <f t="shared" si="1"/>
        <v>7.3505253104106973</v>
      </c>
      <c r="G15" s="26">
        <f t="shared" si="0"/>
        <v>21.37783021518063</v>
      </c>
      <c r="H15" s="26">
        <f t="shared" si="0"/>
        <v>8.471711893926626</v>
      </c>
      <c r="I15" s="26">
        <f t="shared" si="2"/>
        <v>1.2200685431765841</v>
      </c>
      <c r="J15">
        <f t="shared" si="3"/>
        <v>1.1211865835159287</v>
      </c>
      <c r="K15" s="27">
        <f t="shared" si="4"/>
        <v>2.7456266051051528</v>
      </c>
      <c r="S15">
        <v>11</v>
      </c>
      <c r="T15">
        <v>901</v>
      </c>
    </row>
    <row r="16" spans="1:25" x14ac:dyDescent="0.25">
      <c r="A16" s="24">
        <v>1</v>
      </c>
      <c r="B16" s="25">
        <v>25</v>
      </c>
      <c r="C16" s="24">
        <v>5.74</v>
      </c>
      <c r="D16" s="24">
        <v>1.911</v>
      </c>
      <c r="E16" s="26">
        <f t="shared" si="1"/>
        <v>21.929321872015283</v>
      </c>
      <c r="F16" s="26">
        <f t="shared" si="1"/>
        <v>7.3008595988538687</v>
      </c>
      <c r="G16" s="26">
        <f t="shared" si="0"/>
        <v>21.37783021518063</v>
      </c>
      <c r="H16" s="26">
        <f t="shared" si="0"/>
        <v>8.471711893926626</v>
      </c>
      <c r="I16" s="26">
        <f t="shared" si="2"/>
        <v>0.55149165683465284</v>
      </c>
      <c r="J16">
        <f t="shared" si="3"/>
        <v>1.1708522950727573</v>
      </c>
      <c r="K16" s="27">
        <f t="shared" si="4"/>
        <v>1.6750381444353737</v>
      </c>
      <c r="S16">
        <v>10</v>
      </c>
      <c r="T16">
        <v>918</v>
      </c>
    </row>
    <row r="17" spans="1:20" x14ac:dyDescent="0.25">
      <c r="A17" s="24">
        <v>1</v>
      </c>
      <c r="B17" s="25">
        <v>25</v>
      </c>
      <c r="C17" s="24">
        <v>5.6390000000000002</v>
      </c>
      <c r="D17" s="24">
        <v>1.7410000000000001</v>
      </c>
      <c r="E17" s="26">
        <f t="shared" si="1"/>
        <v>21.543457497612227</v>
      </c>
      <c r="F17" s="26">
        <f t="shared" si="1"/>
        <v>6.651384909264566</v>
      </c>
      <c r="G17" s="26">
        <f t="shared" si="0"/>
        <v>21.37783021518063</v>
      </c>
      <c r="H17" s="26">
        <f t="shared" si="0"/>
        <v>8.471711893926626</v>
      </c>
      <c r="I17" s="26">
        <f t="shared" si="2"/>
        <v>0.16562728243159697</v>
      </c>
      <c r="J17">
        <f t="shared" si="3"/>
        <v>1.82032698466206</v>
      </c>
      <c r="K17" s="27">
        <f t="shared" si="4"/>
        <v>3.3410227277745435</v>
      </c>
      <c r="S17">
        <v>9</v>
      </c>
      <c r="T17">
        <v>895</v>
      </c>
    </row>
    <row r="18" spans="1:20" x14ac:dyDescent="0.25">
      <c r="A18" s="24">
        <v>1</v>
      </c>
      <c r="B18" s="25">
        <v>25</v>
      </c>
      <c r="C18" s="24">
        <v>5.5170000000000003</v>
      </c>
      <c r="D18" s="24">
        <v>1.917</v>
      </c>
      <c r="E18" s="26">
        <f t="shared" si="1"/>
        <v>21.077363896848141</v>
      </c>
      <c r="F18" s="26">
        <f t="shared" si="1"/>
        <v>7.3237822349570205</v>
      </c>
      <c r="G18" s="26">
        <f t="shared" si="0"/>
        <v>21.37783021518063</v>
      </c>
      <c r="H18" s="26">
        <f t="shared" si="0"/>
        <v>8.471711893926626</v>
      </c>
      <c r="I18" s="26">
        <f t="shared" si="2"/>
        <v>-0.30046631833248938</v>
      </c>
      <c r="J18">
        <f t="shared" si="3"/>
        <v>1.1479296589696055</v>
      </c>
      <c r="K18" s="27">
        <f t="shared" si="4"/>
        <v>1.4080225103943556</v>
      </c>
      <c r="S18">
        <v>8</v>
      </c>
      <c r="T18">
        <v>885</v>
      </c>
    </row>
    <row r="19" spans="1:20" x14ac:dyDescent="0.25">
      <c r="A19" s="24">
        <v>1</v>
      </c>
      <c r="B19" s="25">
        <v>25</v>
      </c>
      <c r="C19" s="24">
        <v>5.5839999999999996</v>
      </c>
      <c r="D19" s="24">
        <v>2.08</v>
      </c>
      <c r="E19" s="26">
        <f t="shared" si="1"/>
        <v>21.333333333333332</v>
      </c>
      <c r="F19" s="26">
        <f t="shared" si="1"/>
        <v>7.9465138490926464</v>
      </c>
      <c r="G19" s="26">
        <f t="shared" si="0"/>
        <v>21.37783021518063</v>
      </c>
      <c r="H19" s="26">
        <f t="shared" si="0"/>
        <v>8.471711893926626</v>
      </c>
      <c r="I19" s="26">
        <f t="shared" si="2"/>
        <v>-4.4496881847297942E-2</v>
      </c>
      <c r="J19">
        <f t="shared" si="3"/>
        <v>0.52519804483397969</v>
      </c>
      <c r="K19" s="27">
        <f t="shared" si="4"/>
        <v>0.27781295879156737</v>
      </c>
      <c r="S19">
        <v>7</v>
      </c>
      <c r="T19">
        <v>895</v>
      </c>
    </row>
    <row r="20" spans="1:20" x14ac:dyDescent="0.25">
      <c r="A20" s="24">
        <v>2</v>
      </c>
      <c r="B20" s="25">
        <v>25</v>
      </c>
      <c r="C20" s="24">
        <v>3.8530000000000002</v>
      </c>
      <c r="D20" s="24">
        <v>4.59</v>
      </c>
      <c r="E20" s="26">
        <f t="shared" si="1"/>
        <v>14.720152817574023</v>
      </c>
      <c r="F20" s="26">
        <f t="shared" si="1"/>
        <v>17.535816618911177</v>
      </c>
      <c r="G20" s="26">
        <f t="shared" si="0"/>
        <v>16.319388729703917</v>
      </c>
      <c r="H20" s="26">
        <f t="shared" si="0"/>
        <v>18.322827125119392</v>
      </c>
      <c r="I20" s="26">
        <f t="shared" si="2"/>
        <v>-1.5992359121298936</v>
      </c>
      <c r="J20">
        <f t="shared" si="3"/>
        <v>0.78701050620821533</v>
      </c>
      <c r="K20" s="27">
        <f t="shared" si="4"/>
        <v>3.1769410395280442</v>
      </c>
      <c r="S20">
        <v>6</v>
      </c>
      <c r="T20">
        <v>910</v>
      </c>
    </row>
    <row r="21" spans="1:20" x14ac:dyDescent="0.25">
      <c r="A21" s="24">
        <v>2</v>
      </c>
      <c r="B21" s="25">
        <v>25</v>
      </c>
      <c r="C21" s="24">
        <v>3.9140000000000001</v>
      </c>
      <c r="D21" s="24">
        <v>5.024</v>
      </c>
      <c r="E21" s="26">
        <f t="shared" si="1"/>
        <v>14.953199617956066</v>
      </c>
      <c r="F21" s="26">
        <f t="shared" si="1"/>
        <v>19.193887297039161</v>
      </c>
      <c r="G21" s="26">
        <f t="shared" si="0"/>
        <v>16.319388729703917</v>
      </c>
      <c r="H21" s="26">
        <f t="shared" si="0"/>
        <v>18.322827125119392</v>
      </c>
      <c r="I21" s="26">
        <f t="shared" si="2"/>
        <v>-1.3661891117478504</v>
      </c>
      <c r="J21">
        <f t="shared" si="3"/>
        <v>-0.87106017191976903</v>
      </c>
      <c r="K21" s="27">
        <f t="shared" si="4"/>
        <v>2.6252185121632783</v>
      </c>
      <c r="S21">
        <v>5</v>
      </c>
      <c r="T21">
        <v>886</v>
      </c>
    </row>
    <row r="22" spans="1:20" x14ac:dyDescent="0.25">
      <c r="A22" s="24">
        <v>2</v>
      </c>
      <c r="B22" s="25">
        <v>25</v>
      </c>
      <c r="C22" s="48">
        <v>4.28</v>
      </c>
      <c r="D22" s="48">
        <v>5.0979999999999999</v>
      </c>
      <c r="E22" s="26">
        <f t="shared" si="1"/>
        <v>16.351480420248329</v>
      </c>
      <c r="F22" s="26">
        <f t="shared" si="1"/>
        <v>19.476599808978033</v>
      </c>
      <c r="G22" s="26">
        <f t="shared" si="0"/>
        <v>16.319388729703917</v>
      </c>
      <c r="H22" s="26">
        <f t="shared" si="0"/>
        <v>18.322827125119392</v>
      </c>
      <c r="I22" s="26">
        <f t="shared" si="2"/>
        <v>3.2091690544412188E-2</v>
      </c>
      <c r="J22">
        <f t="shared" si="3"/>
        <v>-1.1537726838586408</v>
      </c>
      <c r="K22" s="27">
        <f t="shared" si="4"/>
        <v>1.3322212826203694</v>
      </c>
      <c r="S22">
        <v>4</v>
      </c>
      <c r="T22">
        <v>919</v>
      </c>
    </row>
    <row r="23" spans="1:20" x14ac:dyDescent="0.25">
      <c r="A23" s="24">
        <v>2</v>
      </c>
      <c r="B23" s="25">
        <v>25</v>
      </c>
      <c r="C23" s="24">
        <v>4.3609999999999998</v>
      </c>
      <c r="D23" s="24">
        <v>5.2270000000000003</v>
      </c>
      <c r="E23" s="26">
        <f t="shared" si="1"/>
        <v>16.660936007640878</v>
      </c>
      <c r="F23" s="26">
        <f t="shared" si="1"/>
        <v>19.9694364851958</v>
      </c>
      <c r="G23" s="26">
        <f t="shared" si="0"/>
        <v>16.319388729703917</v>
      </c>
      <c r="H23" s="26">
        <f t="shared" si="0"/>
        <v>18.322827125119392</v>
      </c>
      <c r="I23" s="26">
        <f t="shared" si="2"/>
        <v>0.34154727793696082</v>
      </c>
      <c r="J23">
        <f t="shared" si="3"/>
        <v>-1.6466093600764076</v>
      </c>
      <c r="K23" s="27">
        <f t="shared" si="4"/>
        <v>2.8279769277573843</v>
      </c>
      <c r="S23">
        <v>3</v>
      </c>
      <c r="T23">
        <v>897</v>
      </c>
    </row>
    <row r="24" spans="1:20" x14ac:dyDescent="0.25">
      <c r="A24" s="24">
        <v>2</v>
      </c>
      <c r="B24" s="25">
        <v>25</v>
      </c>
      <c r="C24" s="24">
        <v>4.6390000000000002</v>
      </c>
      <c r="D24" s="24">
        <v>4.9359999999999999</v>
      </c>
      <c r="E24" s="26">
        <f t="shared" si="1"/>
        <v>17.723018147086918</v>
      </c>
      <c r="F24" s="26">
        <f t="shared" si="1"/>
        <v>18.857688634192932</v>
      </c>
      <c r="G24" s="26">
        <f t="shared" si="0"/>
        <v>16.319388729703917</v>
      </c>
      <c r="H24" s="26">
        <f t="shared" si="0"/>
        <v>18.322827125119392</v>
      </c>
      <c r="I24" s="26">
        <f t="shared" si="2"/>
        <v>1.4036294173830015</v>
      </c>
      <c r="J24">
        <f t="shared" si="3"/>
        <v>-0.53486150907354002</v>
      </c>
      <c r="K24" s="27">
        <f t="shared" si="4"/>
        <v>2.2562523752313686</v>
      </c>
      <c r="S24">
        <v>2</v>
      </c>
      <c r="T24">
        <v>907</v>
      </c>
    </row>
    <row r="25" spans="1:20" x14ac:dyDescent="0.25">
      <c r="A25" s="24">
        <v>2</v>
      </c>
      <c r="B25" s="25">
        <v>25</v>
      </c>
      <c r="C25" s="24">
        <v>4.3879999999999999</v>
      </c>
      <c r="D25" s="24">
        <v>4.7869999999999999</v>
      </c>
      <c r="E25" s="26">
        <f t="shared" si="1"/>
        <v>16.764087870105062</v>
      </c>
      <c r="F25" s="26">
        <f t="shared" si="1"/>
        <v>18.288443170964662</v>
      </c>
      <c r="G25" s="26">
        <f t="shared" si="0"/>
        <v>16.319388729703917</v>
      </c>
      <c r="H25" s="26">
        <f t="shared" si="0"/>
        <v>18.322827125119392</v>
      </c>
      <c r="I25" s="26">
        <f t="shared" si="2"/>
        <v>0.44469914040114489</v>
      </c>
      <c r="J25">
        <f t="shared" si="3"/>
        <v>3.438395415473039E-2</v>
      </c>
      <c r="K25" s="27">
        <f t="shared" si="4"/>
        <v>0.19893958177683177</v>
      </c>
      <c r="S25">
        <v>1</v>
      </c>
      <c r="T25">
        <v>899</v>
      </c>
    </row>
    <row r="26" spans="1:20" x14ac:dyDescent="0.25">
      <c r="A26" s="24">
        <v>2</v>
      </c>
      <c r="B26" s="25">
        <v>25</v>
      </c>
      <c r="C26" s="24">
        <v>4.2249999999999996</v>
      </c>
      <c r="D26" s="24">
        <v>4.4409999999999998</v>
      </c>
      <c r="E26" s="26">
        <f t="shared" si="1"/>
        <v>16.141356255969438</v>
      </c>
      <c r="F26" s="26">
        <f t="shared" si="1"/>
        <v>16.966571155682903</v>
      </c>
      <c r="G26" s="26">
        <f t="shared" si="0"/>
        <v>16.319388729703917</v>
      </c>
      <c r="H26" s="26">
        <f t="shared" si="0"/>
        <v>18.322827125119392</v>
      </c>
      <c r="I26" s="26">
        <f t="shared" si="2"/>
        <v>-0.17803247373447917</v>
      </c>
      <c r="J26">
        <f t="shared" si="3"/>
        <v>1.3562559694364893</v>
      </c>
      <c r="K26" s="27">
        <f t="shared" si="4"/>
        <v>1.8711258163361293</v>
      </c>
      <c r="S26">
        <v>10</v>
      </c>
      <c r="T26">
        <v>921</v>
      </c>
    </row>
    <row r="27" spans="1:20" x14ac:dyDescent="0.25">
      <c r="A27" s="24">
        <v>2</v>
      </c>
      <c r="B27" s="25">
        <v>25</v>
      </c>
      <c r="C27" s="24">
        <v>4.3070000000000004</v>
      </c>
      <c r="D27" s="24">
        <v>4.42</v>
      </c>
      <c r="E27" s="26">
        <f t="shared" si="1"/>
        <v>16.454632282712513</v>
      </c>
      <c r="F27" s="26">
        <f t="shared" si="1"/>
        <v>16.886341929321873</v>
      </c>
      <c r="G27" s="26">
        <f t="shared" si="0"/>
        <v>16.319388729703917</v>
      </c>
      <c r="H27" s="26">
        <f t="shared" si="0"/>
        <v>18.322827125119392</v>
      </c>
      <c r="I27" s="26">
        <f t="shared" si="2"/>
        <v>0.13524355300859625</v>
      </c>
      <c r="J27">
        <f t="shared" si="3"/>
        <v>1.4364851957975198</v>
      </c>
      <c r="K27" s="27">
        <f t="shared" si="4"/>
        <v>2.0817805363758279</v>
      </c>
      <c r="S27">
        <v>9</v>
      </c>
      <c r="T27">
        <v>903</v>
      </c>
    </row>
    <row r="28" spans="1:20" x14ac:dyDescent="0.25">
      <c r="A28" s="24">
        <v>2</v>
      </c>
      <c r="B28" s="25">
        <v>25</v>
      </c>
      <c r="C28" s="24">
        <v>4.3949999999999996</v>
      </c>
      <c r="D28" s="24">
        <v>4.78</v>
      </c>
      <c r="E28" s="26">
        <f t="shared" si="1"/>
        <v>16.790830945558739</v>
      </c>
      <c r="F28" s="26">
        <f t="shared" si="1"/>
        <v>18.261700095510985</v>
      </c>
      <c r="G28" s="26">
        <f t="shared" si="0"/>
        <v>16.319388729703917</v>
      </c>
      <c r="H28" s="26">
        <f t="shared" si="0"/>
        <v>18.322827125119392</v>
      </c>
      <c r="I28" s="26">
        <f t="shared" si="2"/>
        <v>0.47144221585482171</v>
      </c>
      <c r="J28">
        <f t="shared" si="3"/>
        <v>6.1127029608407213E-2</v>
      </c>
      <c r="K28" s="27">
        <f t="shared" si="4"/>
        <v>0.22599427663885141</v>
      </c>
      <c r="S28">
        <v>8</v>
      </c>
      <c r="T28">
        <v>918</v>
      </c>
    </row>
    <row r="29" spans="1:20" x14ac:dyDescent="0.25">
      <c r="A29" s="24">
        <v>2</v>
      </c>
      <c r="B29" s="25">
        <v>25</v>
      </c>
      <c r="C29" s="24">
        <v>4.3540000000000001</v>
      </c>
      <c r="D29" s="24">
        <v>4.657</v>
      </c>
      <c r="E29" s="26">
        <f t="shared" si="1"/>
        <v>16.634192932187204</v>
      </c>
      <c r="F29" s="26">
        <f t="shared" si="1"/>
        <v>17.791786055396372</v>
      </c>
      <c r="G29" s="26">
        <f t="shared" si="0"/>
        <v>16.319388729703917</v>
      </c>
      <c r="H29" s="26">
        <f t="shared" si="0"/>
        <v>18.322827125119392</v>
      </c>
      <c r="I29" s="26">
        <f t="shared" si="2"/>
        <v>0.31480420248328755</v>
      </c>
      <c r="J29">
        <f t="shared" si="3"/>
        <v>0.53104106972302034</v>
      </c>
      <c r="K29" s="27">
        <f t="shared" si="4"/>
        <v>0.38110630363370845</v>
      </c>
      <c r="S29">
        <v>7</v>
      </c>
      <c r="T29">
        <v>944</v>
      </c>
    </row>
    <row r="30" spans="1:20" x14ac:dyDescent="0.25">
      <c r="A30" s="24"/>
      <c r="B30" s="25"/>
      <c r="C30" s="24"/>
      <c r="D30" s="24"/>
      <c r="F30" s="26"/>
      <c r="G30" s="26"/>
      <c r="H30" s="26"/>
      <c r="I30" s="26"/>
      <c r="K30" s="27"/>
      <c r="S30">
        <v>6</v>
      </c>
      <c r="T30">
        <v>913</v>
      </c>
    </row>
    <row r="31" spans="1:20" x14ac:dyDescent="0.25">
      <c r="A31" s="24"/>
      <c r="B31" s="25"/>
      <c r="C31" s="24"/>
      <c r="D31" s="24"/>
      <c r="F31" s="26"/>
      <c r="G31" s="26"/>
      <c r="H31" s="26"/>
      <c r="I31" s="26"/>
      <c r="K31" s="27"/>
      <c r="S31">
        <v>5</v>
      </c>
      <c r="T31">
        <v>917</v>
      </c>
    </row>
    <row r="32" spans="1:20" x14ac:dyDescent="0.25">
      <c r="A32" s="24"/>
      <c r="B32" s="25"/>
      <c r="C32" s="24"/>
      <c r="D32" s="24"/>
      <c r="F32" s="26"/>
      <c r="G32" s="26"/>
      <c r="H32" s="26"/>
      <c r="I32" s="26"/>
      <c r="K32" s="27"/>
      <c r="S32">
        <v>4</v>
      </c>
      <c r="T32">
        <v>925</v>
      </c>
    </row>
    <row r="33" spans="19:20" x14ac:dyDescent="0.25">
      <c r="S33">
        <v>3</v>
      </c>
      <c r="T33">
        <v>904</v>
      </c>
    </row>
    <row r="34" spans="19:20" x14ac:dyDescent="0.25">
      <c r="S34">
        <v>2</v>
      </c>
      <c r="T34">
        <v>916</v>
      </c>
    </row>
    <row r="35" spans="19:20" x14ac:dyDescent="0.25">
      <c r="S35">
        <v>1</v>
      </c>
      <c r="T35">
        <v>900</v>
      </c>
    </row>
  </sheetData>
  <mergeCells count="2">
    <mergeCell ref="C1:D1"/>
    <mergeCell ref="E1:K1"/>
  </mergeCell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RowHeight="12.5" x14ac:dyDescent="0.25"/>
  <cols>
    <col min="1" max="1" width="6.26953125" bestFit="1" customWidth="1"/>
    <col min="2" max="2" width="8.26953125" style="50" bestFit="1" customWidth="1"/>
    <col min="5" max="5" width="8.7265625" style="26"/>
    <col min="11" max="11" width="8.7265625" style="50"/>
    <col min="12" max="12" width="8.7265625" style="28"/>
    <col min="13" max="13" width="18.36328125" bestFit="1" customWidth="1"/>
    <col min="16" max="16" width="11.08984375" customWidth="1"/>
    <col min="17" max="17" width="10.90625" customWidth="1"/>
    <col min="18" max="18" width="11.54296875" style="46" customWidth="1"/>
    <col min="19" max="20" width="8.7265625" style="46" customWidth="1"/>
    <col min="21" max="22" width="8.7265625" style="21"/>
  </cols>
  <sheetData>
    <row r="1" spans="1:25" ht="13.5" thickBot="1" x14ac:dyDescent="0.35">
      <c r="B1" s="58" t="s">
        <v>0</v>
      </c>
      <c r="C1" s="60" t="s">
        <v>1</v>
      </c>
      <c r="D1" s="61"/>
      <c r="E1" s="62" t="s">
        <v>2</v>
      </c>
      <c r="F1" s="63"/>
      <c r="G1" s="63"/>
      <c r="H1" s="63"/>
      <c r="I1" s="63"/>
      <c r="J1" s="63"/>
      <c r="K1" s="63"/>
      <c r="L1" s="59"/>
      <c r="M1" s="3" t="s">
        <v>3</v>
      </c>
      <c r="N1" s="4">
        <f>ROUND(10*N3,0)</f>
        <v>12</v>
      </c>
      <c r="P1" s="51" t="s">
        <v>4</v>
      </c>
      <c r="Q1" s="5" t="s">
        <v>5</v>
      </c>
      <c r="R1" s="6" t="s">
        <v>6</v>
      </c>
      <c r="S1" t="s">
        <v>7</v>
      </c>
      <c r="T1" t="s">
        <v>8</v>
      </c>
      <c r="U1" s="7" t="s">
        <v>9</v>
      </c>
      <c r="V1" s="7" t="s">
        <v>10</v>
      </c>
      <c r="W1" s="8" t="s">
        <v>11</v>
      </c>
      <c r="X1" s="9" t="s">
        <v>12</v>
      </c>
      <c r="Y1" s="10">
        <v>0.8</v>
      </c>
    </row>
    <row r="2" spans="1:25" ht="13" x14ac:dyDescent="0.3">
      <c r="A2" s="11" t="s">
        <v>4</v>
      </c>
      <c r="B2" s="12" t="s">
        <v>13</v>
      </c>
      <c r="C2" s="11" t="s">
        <v>14</v>
      </c>
      <c r="D2" s="11" t="s">
        <v>15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19</v>
      </c>
      <c r="K2" s="14" t="s">
        <v>20</v>
      </c>
      <c r="L2" s="15"/>
      <c r="M2" s="16" t="s">
        <v>21</v>
      </c>
      <c r="N2" s="17">
        <f>SQRT(GETPIVOTDATA("Sum Radius^2",$P$1)/CHIINV(0.5,2*GETPIVOTDATA("Count of Group",$P$1)-2*COUNT(P:P)))</f>
        <v>0.98459681072514382</v>
      </c>
      <c r="P2">
        <v>1</v>
      </c>
      <c r="Q2" s="18">
        <v>23.050294241335372</v>
      </c>
      <c r="R2" s="19">
        <v>10</v>
      </c>
      <c r="S2" s="20">
        <v>0.70820307815112993</v>
      </c>
      <c r="T2" s="20">
        <v>1.4351279401816699</v>
      </c>
      <c r="U2" s="21">
        <f>2*R2-1</f>
        <v>19</v>
      </c>
      <c r="V2" s="21">
        <f>1/EXP(LN(SQRT(2/(U2-1))) + GAMMALN(U2/2) - GAMMALN((U2-1)/2))</f>
        <v>1.0139785697898209</v>
      </c>
      <c r="W2" s="22">
        <f>V2*SQRT(Q2/(2*(R2-1)))</f>
        <v>1.1474420482053702</v>
      </c>
      <c r="X2" s="23">
        <f>SQRT(Q2/CHIINV((1-Y$1)/2,2*R2-2))</f>
        <v>0.9417592992582533</v>
      </c>
      <c r="Y2" s="23">
        <f>SQRT(Q2/CHIINV(0.5+Y$1/2,2*R2-2))</f>
        <v>1.456547486997597</v>
      </c>
    </row>
    <row r="3" spans="1:25" ht="13" x14ac:dyDescent="0.3">
      <c r="A3" s="24">
        <v>1</v>
      </c>
      <c r="B3" s="25">
        <v>50</v>
      </c>
      <c r="C3" s="24">
        <v>2.08</v>
      </c>
      <c r="D3" s="24">
        <v>1.8260000000000001</v>
      </c>
      <c r="E3" s="26">
        <f>(C3)/(0.01047*$B3)</f>
        <v>3.9732569245463232</v>
      </c>
      <c r="F3" s="26">
        <f>(D3)/(0.01047*$B3)</f>
        <v>3.4880611270296087</v>
      </c>
      <c r="G3" s="26">
        <f t="shared" ref="G3:H22" si="0">AVERAGEIF($A:$A,"="&amp;$A3,E:E)</f>
        <v>3.6918815663801339</v>
      </c>
      <c r="H3" s="26">
        <f t="shared" si="0"/>
        <v>6.0227316141356262</v>
      </c>
      <c r="I3" s="26">
        <f>E3-G3</f>
        <v>0.2813753581661893</v>
      </c>
      <c r="J3">
        <f>H3-F3</f>
        <v>2.5346704871060175</v>
      </c>
      <c r="K3" s="27">
        <f>POWER(E3-G3,2)+POWER(F3-H3,2)</f>
        <v>6.503726570389408</v>
      </c>
      <c r="M3" s="29" t="s">
        <v>22</v>
      </c>
      <c r="N3" s="30">
        <f>SQRT(GETPIVOTDATA("Sum Radius^2",$P$1)/CHIINV(0.9,2*GETPIVOTDATA("Count of Group",$P$1)-2*COUNT(P:P)))</f>
        <v>1.1557862864539405</v>
      </c>
      <c r="P3">
        <v>2</v>
      </c>
      <c r="Q3" s="18">
        <v>11.205101217012444</v>
      </c>
      <c r="R3" s="19">
        <v>10</v>
      </c>
      <c r="S3" s="20">
        <v>0.67286796260089565</v>
      </c>
      <c r="T3" s="20">
        <v>0.89008985571122867</v>
      </c>
      <c r="U3" s="21">
        <f>2*R3-1</f>
        <v>19</v>
      </c>
      <c r="V3" s="21">
        <f>1/EXP(LN(SQRT(2/(U3-1))) + GAMMALN(U3/2) - GAMMALN((U3-1)/2))</f>
        <v>1.0139785697898209</v>
      </c>
      <c r="W3" s="22">
        <f>V3*SQRT(Q3/(2*(R3-1)))</f>
        <v>0.80001921078149818</v>
      </c>
      <c r="X3" s="23">
        <f>SQRT(Q3/CHIINV((1-Y$1)/2,2*R3-2))</f>
        <v>0.65661314444341834</v>
      </c>
      <c r="Y3" s="23">
        <f>SQRT(Q3/CHIINV(0.5+Y$1/2,2*R3-2))</f>
        <v>1.0155336148227259</v>
      </c>
    </row>
    <row r="4" spans="1:25" ht="13" x14ac:dyDescent="0.3">
      <c r="A4" s="24">
        <v>1</v>
      </c>
      <c r="B4" s="25">
        <v>50</v>
      </c>
      <c r="C4" s="24">
        <v>2.0270000000000001</v>
      </c>
      <c r="D4" s="24">
        <v>2.2349999999999999</v>
      </c>
      <c r="E4" s="26">
        <f t="shared" ref="E4:F22" si="1">(C4)/(0.01047*$B4)</f>
        <v>3.8720152817574025</v>
      </c>
      <c r="F4" s="26">
        <f t="shared" si="1"/>
        <v>4.2693409742120343</v>
      </c>
      <c r="G4" s="26">
        <f t="shared" si="0"/>
        <v>3.6918815663801339</v>
      </c>
      <c r="H4" s="26">
        <f t="shared" si="0"/>
        <v>6.0227316141356262</v>
      </c>
      <c r="I4" s="26">
        <f t="shared" ref="I4:I22" si="2">E4-G4</f>
        <v>0.18013371537726863</v>
      </c>
      <c r="J4">
        <f t="shared" ref="J4:J22" si="3">H4-F4</f>
        <v>1.7533906399235919</v>
      </c>
      <c r="K4" s="27">
        <f t="shared" ref="K4:K22" si="4">POWER(E4-G4,2)+POWER(F4-H4,2)</f>
        <v>3.1068268915872816</v>
      </c>
      <c r="P4" s="31" t="s">
        <v>23</v>
      </c>
      <c r="Q4" s="32">
        <v>34.255395458347813</v>
      </c>
      <c r="R4" s="33">
        <v>20</v>
      </c>
      <c r="S4" s="20">
        <v>0.6723378714752194</v>
      </c>
      <c r="T4" s="20">
        <v>1.1622724882829887</v>
      </c>
      <c r="U4" s="36">
        <f>2*R4+1-2*COUNT(P:P)</f>
        <v>37</v>
      </c>
      <c r="V4" s="21">
        <f>1/EXP(LN(SQRT(2/(U4-1))) + GAMMALN(U4/2) - GAMMALN((U4-1)/2))</f>
        <v>1.0069677145585962</v>
      </c>
      <c r="W4" s="37">
        <f>V4*SQRT(Q4/(2*(R4-COUNT(P:P))))</f>
        <v>0.98226526967592587</v>
      </c>
      <c r="X4" s="38">
        <f>SQRT(Q4/CHIINV((1-Y$1)/2,2*R4-2*COUNT(P:P)))</f>
        <v>0.85179972149538274</v>
      </c>
      <c r="Y4" s="39">
        <f>SQRT(Q4/CHIINV(0.5+Y$1/2,2*R4-2*COUNT(P:P)))</f>
        <v>1.1557862864539405</v>
      </c>
    </row>
    <row r="5" spans="1:25" ht="13" x14ac:dyDescent="0.3">
      <c r="A5" s="24">
        <v>1</v>
      </c>
      <c r="B5" s="25">
        <v>50</v>
      </c>
      <c r="C5" s="24">
        <v>2.0099999999999998</v>
      </c>
      <c r="D5" s="24">
        <v>2.5489999999999999</v>
      </c>
      <c r="E5" s="26">
        <f t="shared" si="1"/>
        <v>3.8395415472779368</v>
      </c>
      <c r="F5" s="26">
        <f t="shared" si="1"/>
        <v>4.8691499522445083</v>
      </c>
      <c r="G5" s="26">
        <f t="shared" si="0"/>
        <v>3.6918815663801339</v>
      </c>
      <c r="H5" s="26">
        <f t="shared" si="0"/>
        <v>6.0227316141356262</v>
      </c>
      <c r="I5" s="26">
        <f t="shared" si="2"/>
        <v>0.14765998089780297</v>
      </c>
      <c r="J5">
        <f t="shared" si="3"/>
        <v>1.1535816618911179</v>
      </c>
      <c r="K5" s="27">
        <f t="shared" si="4"/>
        <v>1.352554120610213</v>
      </c>
      <c r="M5" s="34" t="s">
        <v>24</v>
      </c>
      <c r="N5" s="35" t="s">
        <v>2</v>
      </c>
      <c r="R5"/>
      <c r="S5"/>
      <c r="T5"/>
      <c r="U5" s="36"/>
      <c r="V5" s="36"/>
      <c r="W5" s="37"/>
      <c r="X5" s="38"/>
      <c r="Y5" s="39"/>
    </row>
    <row r="6" spans="1:25" ht="13" x14ac:dyDescent="0.3">
      <c r="A6" s="24">
        <v>1</v>
      </c>
      <c r="B6" s="25">
        <v>50</v>
      </c>
      <c r="C6" s="24">
        <v>2.5760000000000001</v>
      </c>
      <c r="D6" s="24">
        <v>2.9569999999999999</v>
      </c>
      <c r="E6" s="26">
        <f t="shared" si="1"/>
        <v>4.9207258834766003</v>
      </c>
      <c r="F6" s="26">
        <f t="shared" si="1"/>
        <v>5.6485195797516718</v>
      </c>
      <c r="G6" s="26">
        <f t="shared" si="0"/>
        <v>3.6918815663801339</v>
      </c>
      <c r="H6" s="26">
        <f t="shared" si="0"/>
        <v>6.0227316141356262</v>
      </c>
      <c r="I6" s="26">
        <f t="shared" si="2"/>
        <v>1.2288443170964665</v>
      </c>
      <c r="J6">
        <f t="shared" si="3"/>
        <v>0.37421203438395434</v>
      </c>
      <c r="K6" s="27">
        <f t="shared" si="4"/>
        <v>1.6500930023380589</v>
      </c>
      <c r="M6" s="40">
        <f>1-EXP(-POWER(N6/$N$3,2)/2)</f>
        <v>0.31222654744181533</v>
      </c>
      <c r="N6" s="41">
        <v>1</v>
      </c>
      <c r="R6" s="42"/>
      <c r="Y6" s="43"/>
    </row>
    <row r="7" spans="1:25" ht="13" x14ac:dyDescent="0.3">
      <c r="A7" s="24">
        <v>1</v>
      </c>
      <c r="B7" s="25">
        <v>50</v>
      </c>
      <c r="C7" s="24">
        <v>1.4970000000000001</v>
      </c>
      <c r="D7" s="24">
        <v>3.105</v>
      </c>
      <c r="E7" s="26">
        <f t="shared" si="1"/>
        <v>2.8595988538681953</v>
      </c>
      <c r="F7" s="26">
        <f t="shared" si="1"/>
        <v>5.9312320916905446</v>
      </c>
      <c r="G7" s="26">
        <f t="shared" si="0"/>
        <v>3.6918815663801339</v>
      </c>
      <c r="H7" s="26">
        <f t="shared" si="0"/>
        <v>6.0227316141356262</v>
      </c>
      <c r="I7" s="26">
        <f t="shared" si="2"/>
        <v>-0.83228271251193853</v>
      </c>
      <c r="J7">
        <f t="shared" si="3"/>
        <v>9.1499522445081638E-2</v>
      </c>
      <c r="K7" s="27">
        <f t="shared" si="4"/>
        <v>0.70106667615390816</v>
      </c>
      <c r="M7" s="40">
        <f t="shared" ref="M7:M8" si="5">1-EXP(-POWER(N7/$N$3,2)/2)</f>
        <v>0.66098631453494472</v>
      </c>
      <c r="N7" s="41">
        <v>1.7</v>
      </c>
      <c r="R7" s="42"/>
      <c r="U7" s="44"/>
      <c r="V7" s="44"/>
      <c r="W7" s="44"/>
      <c r="X7" s="44"/>
      <c r="Y7" s="45"/>
    </row>
    <row r="8" spans="1:25" ht="13" x14ac:dyDescent="0.3">
      <c r="A8" s="24">
        <v>1</v>
      </c>
      <c r="B8" s="25">
        <v>50</v>
      </c>
      <c r="C8" s="24">
        <v>1.871</v>
      </c>
      <c r="D8" s="24">
        <v>3.5049999999999999</v>
      </c>
      <c r="E8" s="26">
        <f t="shared" si="1"/>
        <v>3.574021012416428</v>
      </c>
      <c r="F8" s="26">
        <f t="shared" si="1"/>
        <v>6.6953199617956072</v>
      </c>
      <c r="G8" s="26">
        <f t="shared" si="0"/>
        <v>3.6918815663801339</v>
      </c>
      <c r="H8" s="26">
        <f t="shared" si="0"/>
        <v>6.0227316141356262</v>
      </c>
      <c r="I8" s="26">
        <f t="shared" si="2"/>
        <v>-0.11786055396370587</v>
      </c>
      <c r="J8">
        <f t="shared" si="3"/>
        <v>-0.67258834765998099</v>
      </c>
      <c r="K8" s="27">
        <f t="shared" si="4"/>
        <v>0.46626619558861504</v>
      </c>
      <c r="M8" s="40">
        <f t="shared" si="5"/>
        <v>0.96556431901147421</v>
      </c>
      <c r="N8" s="41">
        <v>3</v>
      </c>
      <c r="S8" s="55" t="s">
        <v>31</v>
      </c>
      <c r="T8" s="56">
        <f>AVERAGE(T11:T50)</f>
        <v>918.07142857142856</v>
      </c>
    </row>
    <row r="9" spans="1:25" x14ac:dyDescent="0.25">
      <c r="A9" s="24">
        <v>1</v>
      </c>
      <c r="B9" s="25">
        <v>50</v>
      </c>
      <c r="C9" s="24">
        <v>2.3929999999999998</v>
      </c>
      <c r="D9" s="24">
        <v>3.7490000000000001</v>
      </c>
      <c r="E9" s="26">
        <f t="shared" si="1"/>
        <v>4.5711556829035338</v>
      </c>
      <c r="F9" s="26">
        <f t="shared" si="1"/>
        <v>7.1614135625596953</v>
      </c>
      <c r="G9" s="26">
        <f t="shared" si="0"/>
        <v>3.6918815663801339</v>
      </c>
      <c r="H9" s="26">
        <f t="shared" si="0"/>
        <v>6.0227316141356262</v>
      </c>
      <c r="I9" s="26">
        <f t="shared" si="2"/>
        <v>0.87927411652339993</v>
      </c>
      <c r="J9">
        <f t="shared" si="3"/>
        <v>-1.1386819484240691</v>
      </c>
      <c r="K9" s="27">
        <f t="shared" si="4"/>
        <v>2.0697195516548401</v>
      </c>
      <c r="M9" s="29" t="s">
        <v>25</v>
      </c>
      <c r="N9" s="47">
        <f>N3*SQRT(LN(4))</f>
        <v>1.3608343575568109</v>
      </c>
      <c r="S9" s="55" t="s">
        <v>32</v>
      </c>
      <c r="T9" s="57">
        <f>STDEV(T11:T50)</f>
        <v>9.7544016550658643</v>
      </c>
    </row>
    <row r="10" spans="1:25" ht="13" x14ac:dyDescent="0.3">
      <c r="A10" s="24">
        <v>1</v>
      </c>
      <c r="B10" s="25">
        <v>50</v>
      </c>
      <c r="C10" s="24">
        <v>1.871</v>
      </c>
      <c r="D10" s="24">
        <v>3.94</v>
      </c>
      <c r="E10" s="26">
        <f t="shared" si="1"/>
        <v>3.574021012416428</v>
      </c>
      <c r="F10" s="26">
        <f t="shared" si="1"/>
        <v>7.5262655205348619</v>
      </c>
      <c r="G10" s="26">
        <f t="shared" si="0"/>
        <v>3.6918815663801339</v>
      </c>
      <c r="H10" s="26">
        <f t="shared" si="0"/>
        <v>6.0227316141356262</v>
      </c>
      <c r="I10" s="26">
        <f t="shared" si="2"/>
        <v>-0.11786055396370587</v>
      </c>
      <c r="J10">
        <f t="shared" si="3"/>
        <v>-1.5035339063992357</v>
      </c>
      <c r="K10" s="27">
        <f t="shared" si="4"/>
        <v>2.2745053178727774</v>
      </c>
      <c r="S10" s="53" t="s">
        <v>29</v>
      </c>
      <c r="T10" s="54" t="s">
        <v>30</v>
      </c>
    </row>
    <row r="11" spans="1:25" x14ac:dyDescent="0.25">
      <c r="A11" s="24">
        <v>1</v>
      </c>
      <c r="B11" s="25">
        <v>50</v>
      </c>
      <c r="C11" s="24">
        <v>1.5489999999999999</v>
      </c>
      <c r="D11" s="24">
        <v>3.6709999999999998</v>
      </c>
      <c r="E11" s="26">
        <f t="shared" si="1"/>
        <v>2.9589302769818531</v>
      </c>
      <c r="F11" s="26">
        <f t="shared" si="1"/>
        <v>7.0124164278892076</v>
      </c>
      <c r="G11" s="26">
        <f t="shared" si="0"/>
        <v>3.6918815663801339</v>
      </c>
      <c r="H11" s="26">
        <f t="shared" si="0"/>
        <v>6.0227316141356262</v>
      </c>
      <c r="I11" s="26">
        <f t="shared" si="2"/>
        <v>-0.7329512893982808</v>
      </c>
      <c r="J11">
        <f t="shared" si="3"/>
        <v>-0.98968481375358142</v>
      </c>
      <c r="K11" s="27">
        <f t="shared" si="4"/>
        <v>1.5166936232050636</v>
      </c>
      <c r="S11">
        <v>99</v>
      </c>
      <c r="T11">
        <v>920</v>
      </c>
    </row>
    <row r="12" spans="1:25" x14ac:dyDescent="0.25">
      <c r="A12" s="24">
        <v>1</v>
      </c>
      <c r="B12" s="25">
        <v>50</v>
      </c>
      <c r="C12" s="48">
        <v>1.4530000000000001</v>
      </c>
      <c r="D12" s="48">
        <v>3.992</v>
      </c>
      <c r="E12" s="49">
        <f t="shared" si="1"/>
        <v>2.7755491881566385</v>
      </c>
      <c r="F12" s="49">
        <f t="shared" si="1"/>
        <v>7.62559694364852</v>
      </c>
      <c r="G12" s="49">
        <f t="shared" si="0"/>
        <v>3.6918815663801339</v>
      </c>
      <c r="H12" s="49">
        <f t="shared" si="0"/>
        <v>6.0227316141356262</v>
      </c>
      <c r="I12" s="49">
        <f t="shared" si="2"/>
        <v>-0.91633237822349534</v>
      </c>
      <c r="J12">
        <f t="shared" si="3"/>
        <v>-1.6028653295128938</v>
      </c>
      <c r="K12" s="49">
        <f t="shared" si="4"/>
        <v>3.4088422919352048</v>
      </c>
      <c r="S12">
        <v>98</v>
      </c>
      <c r="T12">
        <v>923</v>
      </c>
    </row>
    <row r="13" spans="1:25" x14ac:dyDescent="0.25">
      <c r="A13" s="24">
        <v>2</v>
      </c>
      <c r="B13" s="25">
        <v>50</v>
      </c>
      <c r="C13" s="24">
        <v>5.6559999999999997</v>
      </c>
      <c r="D13" s="24">
        <v>3.68</v>
      </c>
      <c r="E13" s="26">
        <f t="shared" si="1"/>
        <v>10.804202483285579</v>
      </c>
      <c r="F13" s="26">
        <f t="shared" si="1"/>
        <v>7.0296084049665719</v>
      </c>
      <c r="G13" s="26">
        <f t="shared" si="0"/>
        <v>10.315568290353394</v>
      </c>
      <c r="H13" s="26">
        <f t="shared" si="0"/>
        <v>8.299522445081184</v>
      </c>
      <c r="I13" s="26">
        <f t="shared" si="2"/>
        <v>0.48863419293218513</v>
      </c>
      <c r="J13">
        <f t="shared" si="3"/>
        <v>1.2699140401146121</v>
      </c>
      <c r="K13" s="27">
        <f t="shared" si="4"/>
        <v>1.8514450437827046</v>
      </c>
      <c r="S13">
        <v>97</v>
      </c>
      <c r="T13">
        <v>922</v>
      </c>
    </row>
    <row r="14" spans="1:25" x14ac:dyDescent="0.25">
      <c r="A14" s="24">
        <v>2</v>
      </c>
      <c r="B14" s="25">
        <v>50</v>
      </c>
      <c r="C14" s="24">
        <v>6.0129999999999999</v>
      </c>
      <c r="D14" s="24">
        <v>3.8180000000000001</v>
      </c>
      <c r="E14" s="26">
        <f t="shared" si="1"/>
        <v>11.486150907354347</v>
      </c>
      <c r="F14" s="26">
        <f t="shared" si="1"/>
        <v>7.2932187201528178</v>
      </c>
      <c r="G14" s="26">
        <f t="shared" si="0"/>
        <v>10.315568290353394</v>
      </c>
      <c r="H14" s="26">
        <f t="shared" si="0"/>
        <v>8.299522445081184</v>
      </c>
      <c r="I14" s="26">
        <f t="shared" si="2"/>
        <v>1.170582617000953</v>
      </c>
      <c r="J14">
        <f t="shared" si="3"/>
        <v>1.0063037249283662</v>
      </c>
      <c r="K14" s="27">
        <f t="shared" si="4"/>
        <v>2.3829108500295044</v>
      </c>
      <c r="S14">
        <v>96</v>
      </c>
      <c r="T14">
        <v>894</v>
      </c>
    </row>
    <row r="15" spans="1:25" x14ac:dyDescent="0.25">
      <c r="A15" s="24">
        <v>2</v>
      </c>
      <c r="B15" s="25">
        <v>50</v>
      </c>
      <c r="C15" s="24">
        <v>5.83</v>
      </c>
      <c r="D15" s="24">
        <v>4.141</v>
      </c>
      <c r="E15" s="26">
        <f t="shared" si="1"/>
        <v>11.136580706781281</v>
      </c>
      <c r="F15" s="26">
        <f t="shared" si="1"/>
        <v>7.9102196752626561</v>
      </c>
      <c r="G15" s="26">
        <f t="shared" si="0"/>
        <v>10.315568290353394</v>
      </c>
      <c r="H15" s="26">
        <f t="shared" si="0"/>
        <v>8.299522445081184</v>
      </c>
      <c r="I15" s="26">
        <f t="shared" si="2"/>
        <v>0.82101241642788736</v>
      </c>
      <c r="J15">
        <f t="shared" si="3"/>
        <v>0.38930276981852785</v>
      </c>
      <c r="K15" s="27">
        <f t="shared" si="4"/>
        <v>0.82561803451713633</v>
      </c>
      <c r="S15">
        <v>95</v>
      </c>
      <c r="T15">
        <v>919</v>
      </c>
    </row>
    <row r="16" spans="1:25" x14ac:dyDescent="0.25">
      <c r="A16" s="24">
        <v>2</v>
      </c>
      <c r="B16" s="25">
        <v>50</v>
      </c>
      <c r="C16" s="24">
        <v>5.194</v>
      </c>
      <c r="D16" s="24">
        <v>4.1319999999999997</v>
      </c>
      <c r="E16" s="26">
        <f t="shared" si="1"/>
        <v>9.9216809933142311</v>
      </c>
      <c r="F16" s="26">
        <f t="shared" si="1"/>
        <v>7.8930276981852909</v>
      </c>
      <c r="G16" s="26">
        <f t="shared" si="0"/>
        <v>10.315568290353394</v>
      </c>
      <c r="H16" s="26">
        <f t="shared" si="0"/>
        <v>8.299522445081184</v>
      </c>
      <c r="I16" s="26">
        <f t="shared" si="2"/>
        <v>-0.39388729703916248</v>
      </c>
      <c r="J16">
        <f t="shared" si="3"/>
        <v>0.40649474689589304</v>
      </c>
      <c r="K16" s="27">
        <f t="shared" si="4"/>
        <v>0.32038518202277355</v>
      </c>
      <c r="S16">
        <v>94</v>
      </c>
      <c r="T16">
        <v>934</v>
      </c>
    </row>
    <row r="17" spans="1:20" x14ac:dyDescent="0.25">
      <c r="A17" s="24">
        <v>2</v>
      </c>
      <c r="B17" s="25">
        <v>50</v>
      </c>
      <c r="C17" s="24">
        <v>5.0819999999999999</v>
      </c>
      <c r="D17" s="24">
        <v>4.2530000000000001</v>
      </c>
      <c r="E17" s="26">
        <f t="shared" si="1"/>
        <v>9.7077363896848148</v>
      </c>
      <c r="F17" s="26">
        <f t="shared" si="1"/>
        <v>8.1241642788920725</v>
      </c>
      <c r="G17" s="26">
        <f t="shared" si="0"/>
        <v>10.315568290353394</v>
      </c>
      <c r="H17" s="26">
        <f t="shared" si="0"/>
        <v>8.299522445081184</v>
      </c>
      <c r="I17" s="26">
        <f t="shared" si="2"/>
        <v>-0.60783190066857884</v>
      </c>
      <c r="J17">
        <f t="shared" si="3"/>
        <v>0.17535816618911149</v>
      </c>
      <c r="K17" s="27">
        <f t="shared" si="4"/>
        <v>0.40021010591958511</v>
      </c>
      <c r="S17">
        <v>93</v>
      </c>
      <c r="T17">
        <v>908</v>
      </c>
    </row>
    <row r="18" spans="1:20" x14ac:dyDescent="0.25">
      <c r="A18" s="24">
        <v>2</v>
      </c>
      <c r="B18" s="25">
        <v>50</v>
      </c>
      <c r="C18" s="24">
        <v>4.9690000000000003</v>
      </c>
      <c r="D18" s="24">
        <v>4.2190000000000003</v>
      </c>
      <c r="E18" s="26">
        <f t="shared" si="1"/>
        <v>9.491881566380135</v>
      </c>
      <c r="F18" s="26">
        <f t="shared" si="1"/>
        <v>8.0592168099331438</v>
      </c>
      <c r="G18" s="26">
        <f t="shared" si="0"/>
        <v>10.315568290353394</v>
      </c>
      <c r="H18" s="26">
        <f t="shared" si="0"/>
        <v>8.299522445081184</v>
      </c>
      <c r="I18" s="26">
        <f t="shared" si="2"/>
        <v>-0.82368672397325859</v>
      </c>
      <c r="J18">
        <f t="shared" si="3"/>
        <v>0.24030563514804015</v>
      </c>
      <c r="K18" s="27">
        <f t="shared" si="4"/>
        <v>0.73620661753370209</v>
      </c>
      <c r="S18">
        <v>92</v>
      </c>
      <c r="T18">
        <v>918</v>
      </c>
    </row>
    <row r="19" spans="1:20" x14ac:dyDescent="0.25">
      <c r="A19" s="24">
        <v>2</v>
      </c>
      <c r="B19" s="25">
        <v>50</v>
      </c>
      <c r="C19" s="24">
        <v>5.3339999999999996</v>
      </c>
      <c r="D19" s="24">
        <v>4.4189999999999996</v>
      </c>
      <c r="E19" s="26">
        <f t="shared" si="1"/>
        <v>10.189111747851003</v>
      </c>
      <c r="F19" s="26">
        <f t="shared" si="1"/>
        <v>8.4412607449856729</v>
      </c>
      <c r="G19" s="26">
        <f t="shared" si="0"/>
        <v>10.315568290353394</v>
      </c>
      <c r="H19" s="26">
        <f t="shared" si="0"/>
        <v>8.299522445081184</v>
      </c>
      <c r="I19" s="26">
        <f t="shared" si="2"/>
        <v>-0.12645654250239069</v>
      </c>
      <c r="J19">
        <f t="shared" si="3"/>
        <v>-0.14173829990448894</v>
      </c>
      <c r="K19" s="27">
        <f t="shared" si="4"/>
        <v>3.6081002801473791E-2</v>
      </c>
      <c r="S19">
        <v>91</v>
      </c>
      <c r="T19">
        <v>919</v>
      </c>
    </row>
    <row r="20" spans="1:20" x14ac:dyDescent="0.25">
      <c r="A20" s="24">
        <v>2</v>
      </c>
      <c r="B20" s="25">
        <v>50</v>
      </c>
      <c r="C20" s="24">
        <v>5.6040000000000001</v>
      </c>
      <c r="D20" s="24">
        <v>4.6879999999999997</v>
      </c>
      <c r="E20" s="26">
        <f t="shared" si="1"/>
        <v>10.704871060171921</v>
      </c>
      <c r="F20" s="26">
        <f t="shared" si="1"/>
        <v>8.9551098376313281</v>
      </c>
      <c r="G20" s="26">
        <f t="shared" si="0"/>
        <v>10.315568290353394</v>
      </c>
      <c r="H20" s="26">
        <f t="shared" si="0"/>
        <v>8.299522445081184</v>
      </c>
      <c r="I20" s="26">
        <f t="shared" si="2"/>
        <v>0.38930276981852785</v>
      </c>
      <c r="J20">
        <f t="shared" si="3"/>
        <v>-0.65558739255014409</v>
      </c>
      <c r="K20" s="27">
        <f t="shared" si="4"/>
        <v>0.58135147585907443</v>
      </c>
      <c r="S20">
        <v>90</v>
      </c>
      <c r="T20">
        <v>927</v>
      </c>
    </row>
    <row r="21" spans="1:20" x14ac:dyDescent="0.25">
      <c r="A21" s="24">
        <v>2</v>
      </c>
      <c r="B21" s="25">
        <v>50</v>
      </c>
      <c r="C21" s="24">
        <v>5.16</v>
      </c>
      <c r="D21" s="24">
        <v>4.984</v>
      </c>
      <c r="E21" s="26">
        <f t="shared" si="1"/>
        <v>9.8567335243553025</v>
      </c>
      <c r="F21" s="26">
        <f t="shared" si="1"/>
        <v>9.5205348615090735</v>
      </c>
      <c r="G21" s="26">
        <f t="shared" si="0"/>
        <v>10.315568290353394</v>
      </c>
      <c r="H21" s="26">
        <f t="shared" si="0"/>
        <v>8.299522445081184</v>
      </c>
      <c r="I21" s="26">
        <f t="shared" si="2"/>
        <v>-0.45883476599809114</v>
      </c>
      <c r="J21">
        <f t="shared" si="3"/>
        <v>-1.2210124164278895</v>
      </c>
      <c r="K21" s="27">
        <f t="shared" si="4"/>
        <v>1.7014006635595968</v>
      </c>
      <c r="S21">
        <v>89</v>
      </c>
      <c r="T21">
        <v>910</v>
      </c>
    </row>
    <row r="22" spans="1:20" x14ac:dyDescent="0.25">
      <c r="A22" s="24">
        <v>2</v>
      </c>
      <c r="B22" s="25">
        <v>50</v>
      </c>
      <c r="C22" s="48">
        <v>5.16</v>
      </c>
      <c r="D22" s="48">
        <v>5.1139999999999999</v>
      </c>
      <c r="E22" s="26">
        <f t="shared" si="1"/>
        <v>9.8567335243553025</v>
      </c>
      <c r="F22" s="26">
        <f t="shared" si="1"/>
        <v>9.7688634192932184</v>
      </c>
      <c r="G22" s="26">
        <f t="shared" si="0"/>
        <v>10.315568290353394</v>
      </c>
      <c r="H22" s="26">
        <f t="shared" si="0"/>
        <v>8.299522445081184</v>
      </c>
      <c r="I22" s="26">
        <f t="shared" si="2"/>
        <v>-0.45883476599809114</v>
      </c>
      <c r="J22">
        <f t="shared" si="3"/>
        <v>-1.4693409742120345</v>
      </c>
      <c r="K22" s="27">
        <f t="shared" si="4"/>
        <v>2.3694922409868937</v>
      </c>
      <c r="S22">
        <v>88</v>
      </c>
      <c r="T22">
        <v>916</v>
      </c>
    </row>
    <row r="23" spans="1:20" x14ac:dyDescent="0.25">
      <c r="A23" s="24"/>
      <c r="B23" s="25"/>
      <c r="C23" s="24"/>
      <c r="D23" s="24"/>
      <c r="F23" s="26"/>
      <c r="G23" s="26"/>
      <c r="H23" s="26"/>
      <c r="I23" s="26"/>
      <c r="K23" s="27"/>
      <c r="S23">
        <v>87</v>
      </c>
      <c r="T23">
        <v>928</v>
      </c>
    </row>
    <row r="24" spans="1:20" x14ac:dyDescent="0.25">
      <c r="A24" s="24"/>
      <c r="B24" s="25"/>
      <c r="C24" s="24"/>
      <c r="D24" s="24"/>
      <c r="F24" s="26"/>
      <c r="G24" s="26"/>
      <c r="H24" s="26"/>
      <c r="I24" s="26"/>
      <c r="K24" s="27"/>
      <c r="S24">
        <v>86</v>
      </c>
      <c r="T24">
        <v>915</v>
      </c>
    </row>
    <row r="25" spans="1:20" x14ac:dyDescent="0.25">
      <c r="A25" s="24"/>
      <c r="B25" s="25"/>
      <c r="C25" s="24"/>
      <c r="D25" s="24"/>
      <c r="F25" s="26"/>
      <c r="G25" s="26"/>
      <c r="H25" s="26"/>
      <c r="I25" s="26"/>
      <c r="K25" s="27"/>
      <c r="S25"/>
      <c r="T25"/>
    </row>
    <row r="26" spans="1:20" x14ac:dyDescent="0.25">
      <c r="A26" s="24"/>
      <c r="B26" s="25"/>
      <c r="C26" s="24"/>
      <c r="D26" s="24"/>
      <c r="F26" s="26"/>
      <c r="G26" s="26"/>
      <c r="H26" s="26"/>
      <c r="I26" s="26"/>
      <c r="K26" s="27"/>
      <c r="S26"/>
      <c r="T26"/>
    </row>
    <row r="27" spans="1:20" x14ac:dyDescent="0.25">
      <c r="A27" s="24"/>
      <c r="B27" s="25"/>
      <c r="C27" s="24"/>
      <c r="D27" s="24"/>
      <c r="F27" s="26"/>
      <c r="G27" s="26"/>
      <c r="H27" s="26"/>
      <c r="I27" s="26"/>
      <c r="K27" s="27"/>
      <c r="S27"/>
      <c r="T27"/>
    </row>
    <row r="28" spans="1:20" x14ac:dyDescent="0.25">
      <c r="A28" s="24"/>
      <c r="B28" s="25"/>
      <c r="C28" s="24"/>
      <c r="D28" s="24"/>
      <c r="F28" s="26"/>
      <c r="G28" s="26"/>
      <c r="H28" s="26"/>
      <c r="I28" s="26"/>
      <c r="K28" s="27"/>
      <c r="S28"/>
      <c r="T28"/>
    </row>
    <row r="29" spans="1:20" x14ac:dyDescent="0.25">
      <c r="A29" s="24"/>
      <c r="B29" s="25"/>
      <c r="C29" s="24"/>
      <c r="D29" s="24"/>
      <c r="F29" s="26"/>
      <c r="G29" s="26"/>
      <c r="H29" s="26"/>
      <c r="I29" s="26"/>
      <c r="K29" s="27"/>
      <c r="S29"/>
      <c r="T29"/>
    </row>
    <row r="30" spans="1:20" x14ac:dyDescent="0.25">
      <c r="A30" s="24"/>
      <c r="B30" s="25"/>
      <c r="C30" s="24"/>
      <c r="D30" s="24"/>
      <c r="F30" s="26"/>
      <c r="G30" s="26"/>
      <c r="H30" s="26"/>
      <c r="I30" s="26"/>
      <c r="K30" s="27"/>
      <c r="S30"/>
      <c r="T30"/>
    </row>
    <row r="31" spans="1:20" x14ac:dyDescent="0.25">
      <c r="A31" s="24"/>
      <c r="B31" s="25"/>
      <c r="C31" s="24"/>
      <c r="D31" s="24"/>
      <c r="F31" s="26"/>
      <c r="G31" s="26"/>
      <c r="H31" s="26"/>
      <c r="I31" s="26"/>
      <c r="K31" s="27"/>
      <c r="S31"/>
      <c r="T31"/>
    </row>
    <row r="32" spans="1:20" x14ac:dyDescent="0.25">
      <c r="A32" s="24"/>
      <c r="B32" s="25"/>
      <c r="C32" s="24"/>
      <c r="D32" s="24"/>
      <c r="F32" s="26"/>
      <c r="G32" s="26"/>
      <c r="H32" s="26"/>
      <c r="I32" s="26"/>
      <c r="K32" s="27"/>
      <c r="S32"/>
      <c r="T32"/>
    </row>
    <row r="33" spans="1:20" x14ac:dyDescent="0.25">
      <c r="A33" s="24"/>
      <c r="B33" s="25"/>
      <c r="F33" s="26"/>
      <c r="G33" s="26"/>
      <c r="H33" s="26"/>
      <c r="I33" s="26"/>
      <c r="K33" s="27"/>
      <c r="S33"/>
      <c r="T33"/>
    </row>
    <row r="34" spans="1:20" x14ac:dyDescent="0.25">
      <c r="A34" s="24"/>
      <c r="B34" s="25"/>
      <c r="F34" s="26"/>
      <c r="G34" s="26"/>
      <c r="H34" s="26"/>
      <c r="I34" s="26"/>
      <c r="K34" s="27"/>
      <c r="S34"/>
      <c r="T34"/>
    </row>
    <row r="35" spans="1:20" x14ac:dyDescent="0.25">
      <c r="A35" s="24"/>
      <c r="B35" s="25"/>
      <c r="F35" s="26"/>
      <c r="G35" s="26"/>
      <c r="H35" s="26"/>
      <c r="I35" s="26"/>
      <c r="K35" s="27"/>
      <c r="S35"/>
      <c r="T35"/>
    </row>
    <row r="36" spans="1:20" x14ac:dyDescent="0.25">
      <c r="A36" s="24"/>
      <c r="B36" s="25"/>
      <c r="F36" s="26"/>
      <c r="G36" s="26"/>
      <c r="H36" s="26"/>
      <c r="I36" s="26"/>
      <c r="K36" s="27"/>
      <c r="S36"/>
      <c r="T36"/>
    </row>
    <row r="37" spans="1:20" x14ac:dyDescent="0.25">
      <c r="A37" s="24"/>
      <c r="B37" s="25"/>
      <c r="F37" s="26"/>
      <c r="G37" s="26"/>
      <c r="H37" s="26"/>
      <c r="I37" s="26"/>
      <c r="K37" s="27"/>
      <c r="S37"/>
      <c r="T37"/>
    </row>
    <row r="38" spans="1:20" x14ac:dyDescent="0.25">
      <c r="A38" s="24"/>
      <c r="B38" s="25"/>
      <c r="F38" s="26"/>
      <c r="G38" s="26"/>
      <c r="H38" s="26"/>
      <c r="I38" s="26"/>
      <c r="K38" s="27"/>
      <c r="S38"/>
      <c r="T38"/>
    </row>
    <row r="39" spans="1:20" x14ac:dyDescent="0.25">
      <c r="A39" s="24"/>
      <c r="B39" s="25"/>
      <c r="F39" s="26"/>
      <c r="G39" s="26"/>
      <c r="H39" s="26"/>
      <c r="I39" s="26"/>
      <c r="K39" s="27"/>
      <c r="S39"/>
      <c r="T39"/>
    </row>
    <row r="40" spans="1:20" x14ac:dyDescent="0.25">
      <c r="A40" s="24"/>
      <c r="B40" s="25"/>
      <c r="F40" s="26"/>
      <c r="G40" s="26"/>
      <c r="H40" s="26"/>
      <c r="I40" s="26"/>
      <c r="K40" s="27"/>
      <c r="S40"/>
      <c r="T40"/>
    </row>
    <row r="41" spans="1:20" x14ac:dyDescent="0.25">
      <c r="A41" s="24"/>
      <c r="B41" s="25"/>
      <c r="F41" s="26"/>
      <c r="G41" s="26"/>
      <c r="H41" s="26"/>
      <c r="I41" s="26"/>
      <c r="K41" s="27"/>
      <c r="S41"/>
      <c r="T41"/>
    </row>
    <row r="42" spans="1:20" x14ac:dyDescent="0.25">
      <c r="A42" s="24"/>
      <c r="B42" s="25"/>
      <c r="F42" s="26"/>
      <c r="G42" s="26"/>
      <c r="H42" s="26"/>
      <c r="I42" s="26"/>
      <c r="K42" s="27"/>
      <c r="S42"/>
      <c r="T42"/>
    </row>
    <row r="43" spans="1:20" x14ac:dyDescent="0.25">
      <c r="S43"/>
      <c r="T43"/>
    </row>
    <row r="44" spans="1:20" x14ac:dyDescent="0.25">
      <c r="S44"/>
      <c r="T44"/>
    </row>
    <row r="45" spans="1:20" x14ac:dyDescent="0.25">
      <c r="S45"/>
      <c r="T45"/>
    </row>
    <row r="46" spans="1:20" x14ac:dyDescent="0.25">
      <c r="S46"/>
      <c r="T46"/>
    </row>
    <row r="47" spans="1:20" x14ac:dyDescent="0.25">
      <c r="S47"/>
      <c r="T47"/>
    </row>
    <row r="48" spans="1:20" x14ac:dyDescent="0.25">
      <c r="S48"/>
      <c r="T48"/>
    </row>
    <row r="49" spans="19:20" x14ac:dyDescent="0.25">
      <c r="S49"/>
      <c r="T49"/>
    </row>
    <row r="50" spans="19:20" x14ac:dyDescent="0.25">
      <c r="S50"/>
      <c r="T50"/>
    </row>
  </sheetData>
  <mergeCells count="2">
    <mergeCell ref="C1:D1"/>
    <mergeCell ref="E1:K1"/>
  </mergeCell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RowHeight="12.5" x14ac:dyDescent="0.25"/>
  <cols>
    <col min="1" max="1" width="6.26953125" bestFit="1" customWidth="1"/>
    <col min="2" max="2" width="8.26953125" style="50" bestFit="1" customWidth="1"/>
    <col min="5" max="5" width="8.7265625" style="26"/>
    <col min="11" max="11" width="8.7265625" style="50"/>
    <col min="12" max="12" width="8.7265625" style="28"/>
    <col min="13" max="13" width="18.36328125" bestFit="1" customWidth="1"/>
    <col min="16" max="16" width="11.08984375" customWidth="1"/>
    <col min="17" max="17" width="10.90625" customWidth="1"/>
    <col min="18" max="18" width="11.54296875" style="46" customWidth="1"/>
    <col min="19" max="20" width="8.7265625" style="46" customWidth="1"/>
    <col min="21" max="22" width="8.7265625" style="21"/>
  </cols>
  <sheetData>
    <row r="1" spans="1:25" ht="13.5" thickBot="1" x14ac:dyDescent="0.35">
      <c r="B1" s="58" t="s">
        <v>0</v>
      </c>
      <c r="C1" s="60" t="s">
        <v>1</v>
      </c>
      <c r="D1" s="61"/>
      <c r="E1" s="62" t="s">
        <v>2</v>
      </c>
      <c r="F1" s="63"/>
      <c r="G1" s="63"/>
      <c r="H1" s="63"/>
      <c r="I1" s="63"/>
      <c r="J1" s="63"/>
      <c r="K1" s="63"/>
      <c r="L1" s="59"/>
      <c r="M1" s="3" t="s">
        <v>3</v>
      </c>
      <c r="N1" s="4">
        <f>ROUND(10*N3,0)</f>
        <v>17</v>
      </c>
      <c r="P1" s="51" t="s">
        <v>4</v>
      </c>
      <c r="Q1" s="5" t="s">
        <v>5</v>
      </c>
      <c r="R1" s="6" t="s">
        <v>6</v>
      </c>
      <c r="S1" t="s">
        <v>7</v>
      </c>
      <c r="T1" t="s">
        <v>8</v>
      </c>
      <c r="U1" s="7" t="s">
        <v>9</v>
      </c>
      <c r="V1" s="7" t="s">
        <v>10</v>
      </c>
      <c r="W1" s="8" t="s">
        <v>11</v>
      </c>
      <c r="X1" s="9" t="s">
        <v>12</v>
      </c>
      <c r="Y1" s="10">
        <v>0.8</v>
      </c>
    </row>
    <row r="2" spans="1:25" ht="13" x14ac:dyDescent="0.3">
      <c r="A2" s="11" t="s">
        <v>4</v>
      </c>
      <c r="B2" s="12" t="s">
        <v>13</v>
      </c>
      <c r="C2" s="11" t="s">
        <v>14</v>
      </c>
      <c r="D2" s="11" t="s">
        <v>15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19</v>
      </c>
      <c r="K2" s="14" t="s">
        <v>20</v>
      </c>
      <c r="L2" s="15"/>
      <c r="M2" s="16" t="s">
        <v>21</v>
      </c>
      <c r="N2" s="17">
        <f>SQRT(GETPIVOTDATA("Sum Radius^2",$P$1)/CHIINV(0.5,2*GETPIVOTDATA("Count of Group",$P$1)-2*COUNT(P:P)))</f>
        <v>1.3748957482878383</v>
      </c>
      <c r="P2">
        <v>1</v>
      </c>
      <c r="Q2" s="18">
        <v>32.774501212816176</v>
      </c>
      <c r="R2" s="19">
        <v>10</v>
      </c>
      <c r="S2" s="20">
        <v>0.84276148504509074</v>
      </c>
      <c r="T2" s="20">
        <v>1.7121227541251409</v>
      </c>
      <c r="U2" s="21">
        <f>2*R2-1</f>
        <v>19</v>
      </c>
      <c r="V2" s="21">
        <f>1/EXP(LN(SQRT(2/(U2-1))) + GAMMALN(U2/2) - GAMMALN((U2-1)/2))</f>
        <v>1.0139785697898209</v>
      </c>
      <c r="W2" s="22">
        <f>V2*SQRT(Q2/(2*(R2-1)))</f>
        <v>1.3682346019792755</v>
      </c>
      <c r="X2" s="23">
        <f>SQRT(Q2/CHIINV((1-Y$1)/2,2*R2-2))</f>
        <v>1.122974063915664</v>
      </c>
      <c r="Y2" s="23">
        <f>SQRT(Q2/CHIINV(0.5+Y$1/2,2*R2-2))</f>
        <v>1.7368185820390822</v>
      </c>
    </row>
    <row r="3" spans="1:25" ht="13" x14ac:dyDescent="0.3">
      <c r="A3" s="24">
        <v>1</v>
      </c>
      <c r="B3" s="25">
        <v>50</v>
      </c>
      <c r="C3" s="24">
        <v>2.9910000000000001</v>
      </c>
      <c r="D3" s="24">
        <v>3.95</v>
      </c>
      <c r="E3" s="26">
        <f>(C3)/(0.01047*$B3)</f>
        <v>5.7134670487106023</v>
      </c>
      <c r="F3" s="26">
        <f>(D3)/(0.01047*$B3)</f>
        <v>7.5453677172874887</v>
      </c>
      <c r="G3" s="26">
        <f t="shared" ref="G3:H12" si="0">AVERAGEIF($A:$A,"="&amp;$A3,E:E)</f>
        <v>4.5900668576886341</v>
      </c>
      <c r="H3" s="26">
        <f t="shared" si="0"/>
        <v>9.2280802292263608</v>
      </c>
      <c r="I3" s="26">
        <f>E3-G3</f>
        <v>1.1234001910219682</v>
      </c>
      <c r="J3">
        <f>H3-F3</f>
        <v>1.6827125119388722</v>
      </c>
      <c r="K3" s="27">
        <f>POWER(E3-G3,2)+POWER(F3-H3,2)</f>
        <v>4.093549387023824</v>
      </c>
      <c r="M3" s="29" t="s">
        <v>22</v>
      </c>
      <c r="N3" s="30">
        <f>SQRT(GETPIVOTDATA("Sum Radius^2",$P$1)/CHIINV(0.9,2*GETPIVOTDATA("Count of Group",$P$1)-2*COUNT(P:P)))</f>
        <v>1.7368185820390822</v>
      </c>
      <c r="P3" s="31" t="s">
        <v>23</v>
      </c>
      <c r="Q3" s="32">
        <v>32.774501212816176</v>
      </c>
      <c r="R3" s="33">
        <v>10</v>
      </c>
      <c r="S3" s="20">
        <v>0.84276148504509074</v>
      </c>
      <c r="T3" s="20">
        <v>1.7121227541251409</v>
      </c>
      <c r="U3" s="21">
        <f>2*R3-1</f>
        <v>19</v>
      </c>
      <c r="V3" s="21">
        <f>1/EXP(LN(SQRT(2/(U3-1))) + GAMMALN(U3/2) - GAMMALN((U3-1)/2))</f>
        <v>1.0139785697898209</v>
      </c>
      <c r="W3" s="22">
        <f>V3*SQRT(Q3/(2*(R3-1)))</f>
        <v>1.3682346019792755</v>
      </c>
      <c r="X3" s="23">
        <f>SQRT(Q3/CHIINV((1-Y$1)/2,2*R3-2))</f>
        <v>1.122974063915664</v>
      </c>
      <c r="Y3" s="23">
        <f>SQRT(Q3/CHIINV(0.5+Y$1/2,2*R3-2))</f>
        <v>1.7368185820390822</v>
      </c>
    </row>
    <row r="4" spans="1:25" ht="13" x14ac:dyDescent="0.3">
      <c r="A4" s="24">
        <v>1</v>
      </c>
      <c r="B4" s="25">
        <v>50</v>
      </c>
      <c r="C4" s="24">
        <v>2.8170000000000002</v>
      </c>
      <c r="D4" s="24">
        <v>3.9140000000000001</v>
      </c>
      <c r="E4" s="26">
        <f t="shared" ref="E4:F12" si="1">(C4)/(0.01047*$B4)</f>
        <v>5.3810888252149001</v>
      </c>
      <c r="F4" s="26">
        <f t="shared" si="1"/>
        <v>7.4765998089780332</v>
      </c>
      <c r="G4" s="26">
        <f t="shared" si="0"/>
        <v>4.5900668576886341</v>
      </c>
      <c r="H4" s="26">
        <f t="shared" si="0"/>
        <v>9.2280802292263608</v>
      </c>
      <c r="I4" s="26">
        <f t="shared" ref="I4:I12" si="2">E4-G4</f>
        <v>0.79102196752626597</v>
      </c>
      <c r="J4">
        <f t="shared" ref="J4:J12" si="3">H4-F4</f>
        <v>1.7514804202483276</v>
      </c>
      <c r="K4" s="27">
        <f t="shared" ref="K4:K12" si="4">POWER(E4-G4,2)+POWER(F4-H4,2)</f>
        <v>3.6933994156223831</v>
      </c>
      <c r="R4"/>
      <c r="S4"/>
      <c r="T4"/>
      <c r="U4" s="36"/>
      <c r="W4" s="37"/>
      <c r="X4" s="38"/>
      <c r="Y4" s="39"/>
    </row>
    <row r="5" spans="1:25" ht="13" x14ac:dyDescent="0.3">
      <c r="A5" s="24">
        <v>1</v>
      </c>
      <c r="B5" s="25">
        <v>50</v>
      </c>
      <c r="C5" s="24">
        <v>2.6779999999999999</v>
      </c>
      <c r="D5" s="24">
        <v>4.0369999999999999</v>
      </c>
      <c r="E5" s="26">
        <f t="shared" si="1"/>
        <v>5.1155682903533908</v>
      </c>
      <c r="F5" s="26">
        <f t="shared" si="1"/>
        <v>7.7115568290353398</v>
      </c>
      <c r="G5" s="26">
        <f t="shared" si="0"/>
        <v>4.5900668576886341</v>
      </c>
      <c r="H5" s="26">
        <f t="shared" si="0"/>
        <v>9.2280802292263608</v>
      </c>
      <c r="I5" s="26">
        <f t="shared" si="2"/>
        <v>0.52550143266475668</v>
      </c>
      <c r="J5">
        <f t="shared" si="3"/>
        <v>1.5165234001910211</v>
      </c>
      <c r="K5" s="27">
        <f t="shared" si="4"/>
        <v>2.5759949790596472</v>
      </c>
      <c r="M5" s="34" t="s">
        <v>24</v>
      </c>
      <c r="N5" s="35" t="s">
        <v>2</v>
      </c>
      <c r="R5"/>
      <c r="S5"/>
      <c r="T5"/>
      <c r="U5" s="36"/>
      <c r="V5" s="36"/>
      <c r="W5" s="37"/>
      <c r="X5" s="38"/>
      <c r="Y5" s="39"/>
    </row>
    <row r="6" spans="1:25" ht="13" x14ac:dyDescent="0.3">
      <c r="A6" s="24">
        <v>1</v>
      </c>
      <c r="B6" s="25">
        <v>50</v>
      </c>
      <c r="C6" s="24">
        <v>1.84</v>
      </c>
      <c r="D6" s="24">
        <v>4.2290000000000001</v>
      </c>
      <c r="E6" s="26">
        <f t="shared" si="1"/>
        <v>3.514804202483286</v>
      </c>
      <c r="F6" s="26">
        <f t="shared" si="1"/>
        <v>8.0783190066857689</v>
      </c>
      <c r="G6" s="26">
        <f t="shared" si="0"/>
        <v>4.5900668576886341</v>
      </c>
      <c r="H6" s="26">
        <f t="shared" si="0"/>
        <v>9.2280802292263608</v>
      </c>
      <c r="I6" s="26">
        <f t="shared" si="2"/>
        <v>-1.0752626552053481</v>
      </c>
      <c r="J6">
        <f t="shared" si="3"/>
        <v>1.149761222540592</v>
      </c>
      <c r="K6" s="27">
        <f t="shared" si="4"/>
        <v>2.4781406465372919</v>
      </c>
      <c r="M6" s="40">
        <f>1-EXP(-POWER(N6/$N$3,2)/2)</f>
        <v>0.15274442024892265</v>
      </c>
      <c r="N6" s="41">
        <v>1</v>
      </c>
      <c r="R6" s="42"/>
      <c r="Y6" s="43"/>
    </row>
    <row r="7" spans="1:25" ht="13" x14ac:dyDescent="0.3">
      <c r="A7" s="24">
        <v>1</v>
      </c>
      <c r="B7" s="25">
        <v>50</v>
      </c>
      <c r="C7" s="24">
        <v>1.675</v>
      </c>
      <c r="D7" s="24">
        <v>4.1929999999999996</v>
      </c>
      <c r="E7" s="26">
        <f t="shared" si="1"/>
        <v>3.1996179560649476</v>
      </c>
      <c r="F7" s="26">
        <f t="shared" si="1"/>
        <v>8.0095510983763134</v>
      </c>
      <c r="G7" s="26">
        <f t="shared" si="0"/>
        <v>4.5900668576886341</v>
      </c>
      <c r="H7" s="26">
        <f t="shared" si="0"/>
        <v>9.2280802292263608</v>
      </c>
      <c r="I7" s="26">
        <f t="shared" si="2"/>
        <v>-1.3904489016236865</v>
      </c>
      <c r="J7">
        <f t="shared" si="3"/>
        <v>1.2185291308500474</v>
      </c>
      <c r="K7" s="27">
        <f t="shared" si="4"/>
        <v>3.4181613907566883</v>
      </c>
      <c r="M7" s="40">
        <f t="shared" ref="M7:M8" si="5">1-EXP(-POWER(N7/$N$3,2)/2)</f>
        <v>0.38061351506143226</v>
      </c>
      <c r="N7" s="41">
        <v>1.7</v>
      </c>
      <c r="R7" s="42"/>
      <c r="U7" s="44"/>
      <c r="V7" s="44"/>
      <c r="W7" s="44"/>
      <c r="X7" s="44"/>
      <c r="Y7" s="45"/>
    </row>
    <row r="8" spans="1:25" ht="13" x14ac:dyDescent="0.3">
      <c r="A8" s="24">
        <v>1</v>
      </c>
      <c r="B8" s="25">
        <v>50</v>
      </c>
      <c r="C8" s="24">
        <v>1.91</v>
      </c>
      <c r="D8" s="24">
        <v>5.2130000000000001</v>
      </c>
      <c r="E8" s="26">
        <f t="shared" si="1"/>
        <v>3.6485195797516714</v>
      </c>
      <c r="F8" s="26">
        <f t="shared" si="1"/>
        <v>9.9579751671442231</v>
      </c>
      <c r="G8" s="26">
        <f t="shared" si="0"/>
        <v>4.5900668576886341</v>
      </c>
      <c r="H8" s="26">
        <f t="shared" si="0"/>
        <v>9.2280802292263608</v>
      </c>
      <c r="I8" s="26">
        <f t="shared" si="2"/>
        <v>-0.94154727793696269</v>
      </c>
      <c r="J8">
        <f t="shared" si="3"/>
        <v>-0.72989493791786231</v>
      </c>
      <c r="K8" s="27">
        <f t="shared" si="4"/>
        <v>1.4192578969886243</v>
      </c>
      <c r="M8" s="40">
        <f t="shared" si="5"/>
        <v>0.77502723873980628</v>
      </c>
      <c r="N8" s="41">
        <v>3</v>
      </c>
      <c r="S8" s="55" t="s">
        <v>31</v>
      </c>
      <c r="T8" s="56">
        <f>AVERAGE(T11:T50)</f>
        <v>897.25</v>
      </c>
    </row>
    <row r="9" spans="1:25" x14ac:dyDescent="0.25">
      <c r="A9" s="24">
        <v>1</v>
      </c>
      <c r="B9" s="25">
        <v>50</v>
      </c>
      <c r="C9" s="24">
        <v>2.512</v>
      </c>
      <c r="D9" s="24">
        <v>5.0129999999999999</v>
      </c>
      <c r="E9" s="26">
        <f t="shared" si="1"/>
        <v>4.7984718242597904</v>
      </c>
      <c r="F9" s="26">
        <f t="shared" si="1"/>
        <v>9.5759312320916905</v>
      </c>
      <c r="G9" s="26">
        <f t="shared" si="0"/>
        <v>4.5900668576886341</v>
      </c>
      <c r="H9" s="26">
        <f t="shared" si="0"/>
        <v>9.2280802292263608</v>
      </c>
      <c r="I9" s="26">
        <f t="shared" si="2"/>
        <v>0.20840496657115626</v>
      </c>
      <c r="J9">
        <f t="shared" si="3"/>
        <v>-0.34785100286532966</v>
      </c>
      <c r="K9" s="27">
        <f t="shared" si="4"/>
        <v>0.16443295028594035</v>
      </c>
      <c r="M9" s="29" t="s">
        <v>25</v>
      </c>
      <c r="N9" s="47">
        <f>N3*SQRT(LN(4))</f>
        <v>2.0449476057839306</v>
      </c>
      <c r="S9" s="55" t="s">
        <v>32</v>
      </c>
      <c r="T9" s="57">
        <f>STDEV(T11:T50)</f>
        <v>24.026027553467927</v>
      </c>
    </row>
    <row r="10" spans="1:25" ht="13" x14ac:dyDescent="0.3">
      <c r="A10" s="24">
        <v>1</v>
      </c>
      <c r="B10" s="25">
        <v>50</v>
      </c>
      <c r="C10" s="24">
        <v>2.5379999999999998</v>
      </c>
      <c r="D10" s="24">
        <v>5.3879999999999999</v>
      </c>
      <c r="E10" s="26">
        <f t="shared" si="1"/>
        <v>4.848137535816619</v>
      </c>
      <c r="F10" s="26">
        <f t="shared" si="1"/>
        <v>10.292263610315187</v>
      </c>
      <c r="G10" s="26">
        <f t="shared" si="0"/>
        <v>4.5900668576886341</v>
      </c>
      <c r="H10" s="26">
        <f t="shared" si="0"/>
        <v>9.2280802292263608</v>
      </c>
      <c r="I10" s="26">
        <f t="shared" si="2"/>
        <v>0.2580706781279849</v>
      </c>
      <c r="J10">
        <f t="shared" si="3"/>
        <v>-1.0641833810888262</v>
      </c>
      <c r="K10" s="27">
        <f t="shared" si="4"/>
        <v>1.1990867434950838</v>
      </c>
      <c r="S10" s="53" t="s">
        <v>29</v>
      </c>
      <c r="T10" s="54" t="s">
        <v>30</v>
      </c>
    </row>
    <row r="11" spans="1:25" x14ac:dyDescent="0.25">
      <c r="A11" s="24">
        <v>1</v>
      </c>
      <c r="B11" s="25">
        <v>50</v>
      </c>
      <c r="C11" s="24">
        <v>2.4860000000000002</v>
      </c>
      <c r="D11" s="24">
        <v>6.0250000000000004</v>
      </c>
      <c r="E11" s="26">
        <f t="shared" si="1"/>
        <v>4.7488061127029617</v>
      </c>
      <c r="F11" s="26">
        <f t="shared" si="1"/>
        <v>11.509073543457498</v>
      </c>
      <c r="G11" s="26">
        <f t="shared" si="0"/>
        <v>4.5900668576886341</v>
      </c>
      <c r="H11" s="26">
        <f t="shared" si="0"/>
        <v>9.2280802292263608</v>
      </c>
      <c r="I11" s="26">
        <f t="shared" si="2"/>
        <v>0.15873925501432762</v>
      </c>
      <c r="J11">
        <f t="shared" si="3"/>
        <v>-2.2809933142311376</v>
      </c>
      <c r="K11" s="27">
        <f t="shared" si="4"/>
        <v>5.2281286506496523</v>
      </c>
      <c r="S11">
        <v>55</v>
      </c>
      <c r="T11">
        <v>892</v>
      </c>
    </row>
    <row r="12" spans="1:25" x14ac:dyDescent="0.25">
      <c r="A12" s="24">
        <v>1</v>
      </c>
      <c r="B12" s="25">
        <v>50</v>
      </c>
      <c r="C12" s="48">
        <v>2.5819999999999999</v>
      </c>
      <c r="D12" s="48">
        <v>6.3470000000000004</v>
      </c>
      <c r="E12" s="49">
        <f t="shared" si="1"/>
        <v>4.9321872015281754</v>
      </c>
      <c r="F12" s="49">
        <f t="shared" si="1"/>
        <v>12.124164278892074</v>
      </c>
      <c r="G12" s="49">
        <f t="shared" si="0"/>
        <v>4.5900668576886341</v>
      </c>
      <c r="H12" s="49">
        <f t="shared" si="0"/>
        <v>9.2280802292263608</v>
      </c>
      <c r="I12" s="49">
        <f t="shared" si="2"/>
        <v>0.34212034383954126</v>
      </c>
      <c r="J12">
        <f t="shared" si="3"/>
        <v>-2.8960840496657134</v>
      </c>
      <c r="K12" s="49">
        <f t="shared" si="4"/>
        <v>8.5043491523970438</v>
      </c>
      <c r="S12">
        <v>54</v>
      </c>
      <c r="T12">
        <v>905</v>
      </c>
    </row>
    <row r="13" spans="1:25" x14ac:dyDescent="0.25">
      <c r="A13" s="24"/>
      <c r="B13" s="25"/>
      <c r="C13" s="24"/>
      <c r="D13" s="24"/>
      <c r="F13" s="26"/>
      <c r="G13" s="26"/>
      <c r="H13" s="26"/>
      <c r="I13" s="26"/>
      <c r="K13" s="27"/>
      <c r="S13">
        <v>53</v>
      </c>
      <c r="T13">
        <v>915</v>
      </c>
    </row>
    <row r="14" spans="1:25" x14ac:dyDescent="0.25">
      <c r="A14" s="24"/>
      <c r="B14" s="25"/>
      <c r="C14" s="24"/>
      <c r="D14" s="24"/>
      <c r="F14" s="26"/>
      <c r="G14" s="26"/>
      <c r="H14" s="26"/>
      <c r="I14" s="26"/>
      <c r="K14" s="27"/>
      <c r="S14">
        <v>52</v>
      </c>
      <c r="T14">
        <v>907</v>
      </c>
    </row>
    <row r="15" spans="1:25" x14ac:dyDescent="0.25">
      <c r="A15" s="24"/>
      <c r="B15" s="25"/>
      <c r="C15" s="24"/>
      <c r="D15" s="24"/>
      <c r="F15" s="26"/>
      <c r="G15" s="26"/>
      <c r="H15" s="26"/>
      <c r="I15" s="26"/>
      <c r="K15" s="27"/>
      <c r="S15">
        <v>51</v>
      </c>
      <c r="T15">
        <v>882</v>
      </c>
    </row>
    <row r="16" spans="1:25" x14ac:dyDescent="0.25">
      <c r="A16" s="24"/>
      <c r="B16" s="25"/>
      <c r="C16" s="24"/>
      <c r="D16" s="24"/>
      <c r="F16" s="26"/>
      <c r="G16" s="26"/>
      <c r="H16" s="26"/>
      <c r="I16" s="26"/>
      <c r="K16" s="27"/>
      <c r="S16">
        <v>50</v>
      </c>
      <c r="T16">
        <v>896</v>
      </c>
    </row>
    <row r="17" spans="1:20" x14ac:dyDescent="0.25">
      <c r="A17" s="24"/>
      <c r="B17" s="25"/>
      <c r="C17" s="24"/>
      <c r="D17" s="24"/>
      <c r="F17" s="26"/>
      <c r="G17" s="26"/>
      <c r="H17" s="26"/>
      <c r="I17" s="26"/>
      <c r="K17" s="27"/>
      <c r="S17">
        <v>49</v>
      </c>
      <c r="T17">
        <v>907</v>
      </c>
    </row>
    <row r="18" spans="1:20" x14ac:dyDescent="0.25">
      <c r="A18" s="24"/>
      <c r="B18" s="25"/>
      <c r="C18" s="24"/>
      <c r="D18" s="24"/>
      <c r="F18" s="26"/>
      <c r="G18" s="26"/>
      <c r="H18" s="26"/>
      <c r="I18" s="26"/>
      <c r="K18" s="27"/>
      <c r="S18">
        <v>48</v>
      </c>
      <c r="T18">
        <v>896</v>
      </c>
    </row>
    <row r="19" spans="1:20" x14ac:dyDescent="0.25">
      <c r="A19" s="24"/>
      <c r="B19" s="25"/>
      <c r="C19" s="24"/>
      <c r="D19" s="24"/>
      <c r="F19" s="26"/>
      <c r="G19" s="26"/>
      <c r="H19" s="26"/>
      <c r="I19" s="26"/>
      <c r="K19" s="27"/>
      <c r="S19">
        <v>47</v>
      </c>
      <c r="T19">
        <v>897</v>
      </c>
    </row>
    <row r="20" spans="1:20" x14ac:dyDescent="0.25">
      <c r="A20" s="24"/>
      <c r="B20" s="25"/>
      <c r="C20" s="24"/>
      <c r="D20" s="24"/>
      <c r="F20" s="26"/>
      <c r="G20" s="26"/>
      <c r="H20" s="26"/>
      <c r="I20" s="26"/>
      <c r="K20" s="27"/>
      <c r="S20">
        <v>46</v>
      </c>
      <c r="T20">
        <v>838</v>
      </c>
    </row>
    <row r="21" spans="1:20" x14ac:dyDescent="0.25">
      <c r="A21" s="24"/>
      <c r="B21" s="25"/>
      <c r="C21" s="24"/>
      <c r="D21" s="24"/>
      <c r="F21" s="26"/>
      <c r="G21" s="26"/>
      <c r="H21" s="26"/>
      <c r="I21" s="26"/>
      <c r="K21" s="27"/>
      <c r="S21">
        <v>45</v>
      </c>
      <c r="T21">
        <v>894</v>
      </c>
    </row>
    <row r="22" spans="1:20" x14ac:dyDescent="0.25">
      <c r="A22" s="24"/>
      <c r="B22" s="25"/>
      <c r="C22" s="48"/>
      <c r="D22" s="48"/>
      <c r="F22" s="26"/>
      <c r="G22" s="26"/>
      <c r="H22" s="26"/>
      <c r="I22" s="26"/>
      <c r="K22" s="27"/>
      <c r="S22">
        <v>44</v>
      </c>
      <c r="T22">
        <v>891</v>
      </c>
    </row>
    <row r="23" spans="1:20" x14ac:dyDescent="0.25">
      <c r="A23" s="24"/>
      <c r="B23" s="25"/>
      <c r="C23" s="24"/>
      <c r="D23" s="24"/>
      <c r="F23" s="26"/>
      <c r="G23" s="26"/>
      <c r="H23" s="26"/>
      <c r="I23" s="26"/>
      <c r="K23" s="27"/>
      <c r="S23">
        <v>43</v>
      </c>
      <c r="T23">
        <v>897</v>
      </c>
    </row>
    <row r="24" spans="1:20" x14ac:dyDescent="0.25">
      <c r="A24" s="24"/>
      <c r="B24" s="25"/>
      <c r="C24" s="24"/>
      <c r="D24" s="24"/>
      <c r="F24" s="26"/>
      <c r="G24" s="26"/>
      <c r="H24" s="26"/>
      <c r="I24" s="26"/>
      <c r="K24" s="27"/>
      <c r="S24">
        <v>42</v>
      </c>
      <c r="T24">
        <v>907</v>
      </c>
    </row>
    <row r="25" spans="1:20" x14ac:dyDescent="0.25">
      <c r="A25" s="24"/>
      <c r="B25" s="25"/>
      <c r="C25" s="24"/>
      <c r="D25" s="24"/>
      <c r="F25" s="26"/>
      <c r="G25" s="26"/>
      <c r="H25" s="26"/>
      <c r="I25" s="26"/>
      <c r="K25" s="27"/>
      <c r="S25">
        <v>41</v>
      </c>
      <c r="T25">
        <v>967</v>
      </c>
    </row>
    <row r="26" spans="1:20" x14ac:dyDescent="0.25">
      <c r="A26" s="24"/>
      <c r="B26" s="25"/>
      <c r="C26" s="24"/>
      <c r="D26" s="24"/>
      <c r="F26" s="26"/>
      <c r="G26" s="26"/>
      <c r="H26" s="26"/>
      <c r="I26" s="26"/>
      <c r="K26" s="27"/>
      <c r="S26">
        <v>40</v>
      </c>
      <c r="T26">
        <v>910</v>
      </c>
    </row>
    <row r="27" spans="1:20" x14ac:dyDescent="0.25">
      <c r="A27" s="24"/>
      <c r="B27" s="25"/>
      <c r="C27" s="24"/>
      <c r="D27" s="24"/>
      <c r="F27" s="26"/>
      <c r="G27" s="26"/>
      <c r="H27" s="26"/>
      <c r="I27" s="26"/>
      <c r="K27" s="27"/>
      <c r="S27">
        <v>39</v>
      </c>
      <c r="T27">
        <v>897</v>
      </c>
    </row>
    <row r="28" spans="1:20" x14ac:dyDescent="0.25">
      <c r="A28" s="24"/>
      <c r="B28" s="25"/>
      <c r="C28" s="24"/>
      <c r="D28" s="24"/>
      <c r="F28" s="26"/>
      <c r="G28" s="26"/>
      <c r="H28" s="26"/>
      <c r="I28" s="26"/>
      <c r="K28" s="27"/>
      <c r="S28">
        <v>38</v>
      </c>
      <c r="T28">
        <v>878</v>
      </c>
    </row>
    <row r="29" spans="1:20" x14ac:dyDescent="0.25">
      <c r="A29" s="24"/>
      <c r="B29" s="25"/>
      <c r="C29" s="24"/>
      <c r="D29" s="24"/>
      <c r="F29" s="26"/>
      <c r="G29" s="26"/>
      <c r="H29" s="26"/>
      <c r="I29" s="26"/>
      <c r="K29" s="27"/>
      <c r="S29">
        <v>37</v>
      </c>
      <c r="T29">
        <v>904</v>
      </c>
    </row>
    <row r="30" spans="1:20" x14ac:dyDescent="0.25">
      <c r="A30" s="24"/>
      <c r="B30" s="25"/>
      <c r="C30" s="24"/>
      <c r="D30" s="24"/>
      <c r="F30" s="26"/>
      <c r="G30" s="26"/>
      <c r="H30" s="26"/>
      <c r="I30" s="26"/>
      <c r="K30" s="27"/>
      <c r="S30">
        <v>36</v>
      </c>
      <c r="T30">
        <v>865</v>
      </c>
    </row>
    <row r="31" spans="1:20" x14ac:dyDescent="0.25">
      <c r="A31" s="24"/>
      <c r="B31" s="25"/>
      <c r="C31" s="24"/>
      <c r="D31" s="24"/>
      <c r="F31" s="26"/>
      <c r="G31" s="26"/>
      <c r="H31" s="26"/>
      <c r="I31" s="26"/>
      <c r="K31" s="27"/>
      <c r="S31"/>
      <c r="T31"/>
    </row>
    <row r="32" spans="1:20" x14ac:dyDescent="0.25">
      <c r="A32" s="24"/>
      <c r="B32" s="25"/>
      <c r="C32" s="24"/>
      <c r="D32" s="24"/>
      <c r="F32" s="26"/>
      <c r="G32" s="26"/>
      <c r="H32" s="26"/>
      <c r="I32" s="26"/>
      <c r="K32" s="27"/>
      <c r="S32"/>
      <c r="T32"/>
    </row>
    <row r="33" spans="1:20" x14ac:dyDescent="0.25">
      <c r="A33" s="24"/>
      <c r="B33" s="25"/>
      <c r="F33" s="26"/>
      <c r="G33" s="26"/>
      <c r="H33" s="26"/>
      <c r="I33" s="26"/>
      <c r="K33" s="27"/>
      <c r="S33"/>
      <c r="T33"/>
    </row>
    <row r="34" spans="1:20" x14ac:dyDescent="0.25">
      <c r="A34" s="24"/>
      <c r="B34" s="25"/>
      <c r="F34" s="26"/>
      <c r="G34" s="26"/>
      <c r="H34" s="26"/>
      <c r="I34" s="26"/>
      <c r="K34" s="27"/>
      <c r="S34"/>
      <c r="T34"/>
    </row>
    <row r="35" spans="1:20" x14ac:dyDescent="0.25">
      <c r="A35" s="24"/>
      <c r="B35" s="25"/>
      <c r="F35" s="26"/>
      <c r="G35" s="26"/>
      <c r="H35" s="26"/>
      <c r="I35" s="26"/>
      <c r="K35" s="27"/>
      <c r="S35"/>
      <c r="T35"/>
    </row>
    <row r="36" spans="1:20" x14ac:dyDescent="0.25">
      <c r="A36" s="24"/>
      <c r="B36" s="25"/>
      <c r="F36" s="26"/>
      <c r="G36" s="26"/>
      <c r="H36" s="26"/>
      <c r="I36" s="26"/>
      <c r="K36" s="27"/>
      <c r="S36"/>
      <c r="T36"/>
    </row>
    <row r="37" spans="1:20" x14ac:dyDescent="0.25">
      <c r="A37" s="24"/>
      <c r="B37" s="25"/>
      <c r="F37" s="26"/>
      <c r="G37" s="26"/>
      <c r="H37" s="26"/>
      <c r="I37" s="26"/>
      <c r="K37" s="27"/>
      <c r="S37"/>
      <c r="T37"/>
    </row>
    <row r="38" spans="1:20" x14ac:dyDescent="0.25">
      <c r="A38" s="24"/>
      <c r="B38" s="25"/>
      <c r="F38" s="26"/>
      <c r="G38" s="26"/>
      <c r="H38" s="26"/>
      <c r="I38" s="26"/>
      <c r="K38" s="27"/>
      <c r="S38"/>
      <c r="T38"/>
    </row>
    <row r="39" spans="1:20" x14ac:dyDescent="0.25">
      <c r="A39" s="24"/>
      <c r="B39" s="25"/>
      <c r="F39" s="26"/>
      <c r="G39" s="26"/>
      <c r="H39" s="26"/>
      <c r="I39" s="26"/>
      <c r="K39" s="27"/>
      <c r="S39"/>
      <c r="T39"/>
    </row>
    <row r="40" spans="1:20" x14ac:dyDescent="0.25">
      <c r="A40" s="24"/>
      <c r="B40" s="25"/>
      <c r="F40" s="26"/>
      <c r="G40" s="26"/>
      <c r="H40" s="26"/>
      <c r="I40" s="26"/>
      <c r="K40" s="27"/>
      <c r="S40"/>
      <c r="T40"/>
    </row>
    <row r="41" spans="1:20" x14ac:dyDescent="0.25">
      <c r="A41" s="24"/>
      <c r="B41" s="25"/>
      <c r="F41" s="26"/>
      <c r="G41" s="26"/>
      <c r="H41" s="26"/>
      <c r="I41" s="26"/>
      <c r="K41" s="27"/>
      <c r="S41"/>
      <c r="T41"/>
    </row>
    <row r="42" spans="1:20" x14ac:dyDescent="0.25">
      <c r="A42" s="24"/>
      <c r="B42" s="25"/>
      <c r="F42" s="26"/>
      <c r="G42" s="26"/>
      <c r="H42" s="26"/>
      <c r="I42" s="26"/>
      <c r="K42" s="27"/>
      <c r="S42"/>
      <c r="T42"/>
    </row>
    <row r="43" spans="1:20" x14ac:dyDescent="0.25">
      <c r="S43"/>
      <c r="T43"/>
    </row>
    <row r="44" spans="1:20" x14ac:dyDescent="0.25">
      <c r="S44"/>
      <c r="T44"/>
    </row>
    <row r="45" spans="1:20" x14ac:dyDescent="0.25">
      <c r="S45"/>
      <c r="T45"/>
    </row>
    <row r="46" spans="1:20" x14ac:dyDescent="0.25">
      <c r="S46"/>
      <c r="T46"/>
    </row>
    <row r="47" spans="1:20" x14ac:dyDescent="0.25">
      <c r="S47"/>
      <c r="T47"/>
    </row>
    <row r="48" spans="1:20" x14ac:dyDescent="0.25">
      <c r="S48"/>
      <c r="T48"/>
    </row>
    <row r="49" spans="19:20" x14ac:dyDescent="0.25">
      <c r="S49"/>
      <c r="T49"/>
    </row>
    <row r="50" spans="19:20" x14ac:dyDescent="0.25">
      <c r="S50"/>
      <c r="T50"/>
    </row>
  </sheetData>
  <mergeCells count="2">
    <mergeCell ref="C1:D1"/>
    <mergeCell ref="E1:K1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RowHeight="12.5" x14ac:dyDescent="0.25"/>
  <cols>
    <col min="1" max="1" width="6.26953125" bestFit="1" customWidth="1"/>
    <col min="2" max="2" width="8.26953125" style="50" bestFit="1" customWidth="1"/>
    <col min="5" max="5" width="8.7265625" style="26"/>
    <col min="11" max="11" width="8.7265625" style="50"/>
    <col min="12" max="12" width="8.7265625" style="28"/>
    <col min="13" max="13" width="18.36328125" bestFit="1" customWidth="1"/>
    <col min="16" max="16" width="11.08984375" customWidth="1"/>
    <col min="17" max="17" width="10.90625" customWidth="1"/>
    <col min="18" max="18" width="11.54296875" style="46" customWidth="1"/>
    <col min="19" max="20" width="8.7265625" style="46" customWidth="1"/>
    <col min="21" max="22" width="8.7265625" style="21"/>
  </cols>
  <sheetData>
    <row r="1" spans="1:25" ht="13.5" thickBot="1" x14ac:dyDescent="0.35">
      <c r="B1" s="1" t="s">
        <v>0</v>
      </c>
      <c r="C1" s="60" t="s">
        <v>1</v>
      </c>
      <c r="D1" s="61"/>
      <c r="E1" s="62" t="s">
        <v>2</v>
      </c>
      <c r="F1" s="63"/>
      <c r="G1" s="63"/>
      <c r="H1" s="63"/>
      <c r="I1" s="63"/>
      <c r="J1" s="63"/>
      <c r="K1" s="63"/>
      <c r="L1" s="2"/>
      <c r="M1" s="3" t="s">
        <v>3</v>
      </c>
      <c r="N1" s="4">
        <f>ROUND(10*N3,0)</f>
        <v>17</v>
      </c>
      <c r="P1" s="51" t="s">
        <v>4</v>
      </c>
      <c r="Q1" s="5" t="s">
        <v>5</v>
      </c>
      <c r="R1" s="6" t="s">
        <v>6</v>
      </c>
      <c r="S1" t="s">
        <v>7</v>
      </c>
      <c r="T1" t="s">
        <v>8</v>
      </c>
      <c r="U1" s="7" t="s">
        <v>9</v>
      </c>
      <c r="V1" s="7" t="s">
        <v>10</v>
      </c>
      <c r="W1" s="8" t="s">
        <v>11</v>
      </c>
      <c r="X1" s="9" t="s">
        <v>12</v>
      </c>
      <c r="Y1" s="10">
        <v>0.8</v>
      </c>
    </row>
    <row r="2" spans="1:25" ht="13" x14ac:dyDescent="0.3">
      <c r="A2" s="11" t="s">
        <v>4</v>
      </c>
      <c r="B2" s="12" t="s">
        <v>13</v>
      </c>
      <c r="C2" s="11" t="s">
        <v>14</v>
      </c>
      <c r="D2" s="11" t="s">
        <v>15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19</v>
      </c>
      <c r="K2" s="14" t="s">
        <v>20</v>
      </c>
      <c r="L2" s="15"/>
      <c r="M2" s="16" t="s">
        <v>21</v>
      </c>
      <c r="N2" s="17">
        <f>SQRT(GETPIVOTDATA("Sum Radius^2",$P$1)/CHIINV(0.5,2*GETPIVOTDATA("Count of Group",$P$1)-2*COUNT(P:P)))</f>
        <v>1.4492321139498749</v>
      </c>
      <c r="P2">
        <v>1</v>
      </c>
      <c r="Q2" s="18">
        <v>78.414670195190922</v>
      </c>
      <c r="R2" s="19">
        <v>20</v>
      </c>
      <c r="S2" s="20">
        <v>1.2765488913871421</v>
      </c>
      <c r="T2" s="20">
        <v>1.5803514903047065</v>
      </c>
      <c r="U2" s="21">
        <f>2*R2-1</f>
        <v>39</v>
      </c>
      <c r="V2" s="21">
        <f>1/EXP(LN(SQRT(2/(U2-1))) + GAMMALN(U2/2) - GAMMALN((U2-1)/2))</f>
        <v>1.006599872458809</v>
      </c>
      <c r="W2" s="22">
        <f>V2*SQRT(Q2/(2*(R2-1)))</f>
        <v>1.4459848169344387</v>
      </c>
      <c r="X2" s="23">
        <f>SQRT(Q2/CHIINV((1-Y$1)/2,2*R2-2))</f>
        <v>1.2584642486019186</v>
      </c>
      <c r="Y2" s="23">
        <f>SQRT(Q2/CHIINV(0.5+Y$1/2,2*R2-2))</f>
        <v>1.6934640267205348</v>
      </c>
    </row>
    <row r="3" spans="1:25" ht="13" x14ac:dyDescent="0.3">
      <c r="A3" s="24">
        <v>1</v>
      </c>
      <c r="B3" s="25">
        <v>25</v>
      </c>
      <c r="C3" s="24">
        <v>5.31</v>
      </c>
      <c r="D3" s="24">
        <v>4.569</v>
      </c>
      <c r="E3" s="26">
        <f>(C3)/(0.01047*$B3)</f>
        <v>20.286532951289399</v>
      </c>
      <c r="F3" s="26">
        <f>(D3)/(0.01047*$B3)</f>
        <v>17.455587392550143</v>
      </c>
      <c r="G3" s="26">
        <f t="shared" ref="G3:H22" si="0">AVERAGEIF($A:$A,"="&amp;$A3,E:E)</f>
        <v>17.820439350525312</v>
      </c>
      <c r="H3" s="26">
        <f t="shared" si="0"/>
        <v>21.204584527220629</v>
      </c>
      <c r="I3" s="26">
        <f>E3-G3</f>
        <v>2.4660936007640863</v>
      </c>
      <c r="J3">
        <f>H3-F3</f>
        <v>3.7489971346704856</v>
      </c>
      <c r="K3" s="27">
        <f>POWER(E3-G3,2)+POWER(F3-H3,2)</f>
        <v>20.13659716349709</v>
      </c>
      <c r="M3" s="29" t="s">
        <v>22</v>
      </c>
      <c r="N3" s="30">
        <f>SQRT(GETPIVOTDATA("Sum Radius^2",$P$1)/CHIINV(0.9,2*GETPIVOTDATA("Count of Group",$P$1)-2*COUNT(P:P)))</f>
        <v>1.6934640267205348</v>
      </c>
      <c r="P3" s="31" t="s">
        <v>23</v>
      </c>
      <c r="Q3" s="32">
        <v>78.414670195190922</v>
      </c>
      <c r="R3" s="33">
        <v>20</v>
      </c>
      <c r="S3" s="20">
        <v>1.2765488913871421</v>
      </c>
      <c r="T3" s="20">
        <v>1.5803514903047065</v>
      </c>
      <c r="U3" s="21">
        <f>2*R3-1</f>
        <v>39</v>
      </c>
      <c r="V3" s="21">
        <f>1/EXP(LN(SQRT(2/(U3-1))) + GAMMALN(U3/2) - GAMMALN((U3-1)/2))</f>
        <v>1.006599872458809</v>
      </c>
      <c r="W3" s="22">
        <f>V3*SQRT(Q3/(2*(R3-1)))</f>
        <v>1.4459848169344387</v>
      </c>
      <c r="X3" s="23">
        <f>SQRT(Q3/CHIINV((1-Y$1)/2,2*R3-2))</f>
        <v>1.2584642486019186</v>
      </c>
      <c r="Y3" s="23">
        <f>SQRT(Q3/CHIINV(0.5+Y$1/2,2*R3-2))</f>
        <v>1.6934640267205348</v>
      </c>
    </row>
    <row r="4" spans="1:25" ht="13" x14ac:dyDescent="0.3">
      <c r="A4" s="24">
        <v>1</v>
      </c>
      <c r="B4" s="25">
        <v>25</v>
      </c>
      <c r="C4" s="24">
        <v>4.4749999999999996</v>
      </c>
      <c r="D4" s="24">
        <v>4.8259999999999996</v>
      </c>
      <c r="E4" s="26">
        <f t="shared" ref="E4:F22" si="1">(C4)/(0.01047*$B4)</f>
        <v>17.096466093600764</v>
      </c>
      <c r="F4" s="26">
        <f t="shared" si="1"/>
        <v>18.437440305635146</v>
      </c>
      <c r="G4" s="26">
        <f t="shared" si="0"/>
        <v>17.820439350525312</v>
      </c>
      <c r="H4" s="26">
        <f t="shared" si="0"/>
        <v>21.204584527220629</v>
      </c>
      <c r="I4" s="26">
        <f t="shared" ref="I4:I22" si="2">E4-G4</f>
        <v>-0.72397325692454828</v>
      </c>
      <c r="J4">
        <f t="shared" ref="J4:J22" si="3">H4-F4</f>
        <v>2.7671442215854825</v>
      </c>
      <c r="K4" s="27">
        <f t="shared" ref="K4:K22" si="4">POWER(E4-G4,2)+POWER(F4-H4,2)</f>
        <v>8.1812244197958641</v>
      </c>
      <c r="R4"/>
      <c r="S4"/>
      <c r="T4"/>
      <c r="W4" s="22"/>
      <c r="X4" s="23"/>
      <c r="Y4" s="23"/>
    </row>
    <row r="5" spans="1:25" ht="13" x14ac:dyDescent="0.3">
      <c r="A5" s="24">
        <v>1</v>
      </c>
      <c r="B5" s="25">
        <v>25</v>
      </c>
      <c r="C5" s="24">
        <v>4.4550000000000001</v>
      </c>
      <c r="D5" s="24">
        <v>5.22</v>
      </c>
      <c r="E5" s="26">
        <f t="shared" si="1"/>
        <v>17.02005730659026</v>
      </c>
      <c r="F5" s="26">
        <f t="shared" si="1"/>
        <v>19.94269340974212</v>
      </c>
      <c r="G5" s="26">
        <f t="shared" si="0"/>
        <v>17.820439350525312</v>
      </c>
      <c r="H5" s="26">
        <f t="shared" si="0"/>
        <v>21.204584527220629</v>
      </c>
      <c r="I5" s="26">
        <f t="shared" si="2"/>
        <v>-0.80038204393505197</v>
      </c>
      <c r="J5">
        <f t="shared" si="3"/>
        <v>1.261891117478509</v>
      </c>
      <c r="K5" s="27">
        <f t="shared" si="4"/>
        <v>2.2329806086248118</v>
      </c>
      <c r="M5" s="34" t="s">
        <v>24</v>
      </c>
      <c r="N5" s="35" t="s">
        <v>2</v>
      </c>
      <c r="R5"/>
      <c r="S5"/>
      <c r="T5"/>
      <c r="U5" s="36"/>
      <c r="V5" s="36"/>
      <c r="W5" s="37"/>
      <c r="X5" s="38"/>
      <c r="Y5" s="39"/>
    </row>
    <row r="6" spans="1:25" ht="13" x14ac:dyDescent="0.3">
      <c r="A6" s="24">
        <v>1</v>
      </c>
      <c r="B6" s="25">
        <v>25</v>
      </c>
      <c r="C6" s="24">
        <v>3.9060000000000001</v>
      </c>
      <c r="D6" s="24">
        <v>5.7619999999999996</v>
      </c>
      <c r="E6" s="26">
        <f t="shared" si="1"/>
        <v>14.922636103151865</v>
      </c>
      <c r="F6" s="26">
        <f t="shared" si="1"/>
        <v>22.013371537726837</v>
      </c>
      <c r="G6" s="26">
        <f t="shared" si="0"/>
        <v>17.820439350525312</v>
      </c>
      <c r="H6" s="26">
        <f t="shared" si="0"/>
        <v>21.204584527220629</v>
      </c>
      <c r="I6" s="26">
        <f t="shared" si="2"/>
        <v>-2.8978032473734476</v>
      </c>
      <c r="J6">
        <f t="shared" si="3"/>
        <v>-0.80878701050620805</v>
      </c>
      <c r="K6" s="27">
        <f t="shared" si="4"/>
        <v>9.0514000888516684</v>
      </c>
      <c r="M6" s="40">
        <f>1-EXP(-POWER(N6/$N$3,2)/2)</f>
        <v>0.15999584009755408</v>
      </c>
      <c r="N6" s="41">
        <v>1</v>
      </c>
      <c r="R6" s="42"/>
      <c r="S6" s="55" t="s">
        <v>31</v>
      </c>
      <c r="T6" s="56">
        <f>AVERAGE(T9:T28)</f>
        <v>904.45</v>
      </c>
      <c r="Y6" s="43"/>
    </row>
    <row r="7" spans="1:25" ht="13" x14ac:dyDescent="0.3">
      <c r="A7" s="24">
        <v>1</v>
      </c>
      <c r="B7" s="25">
        <v>25</v>
      </c>
      <c r="C7" s="24">
        <v>4.8760000000000003</v>
      </c>
      <c r="D7" s="24">
        <v>6.3719999999999999</v>
      </c>
      <c r="E7" s="26">
        <f t="shared" si="1"/>
        <v>18.628462273161418</v>
      </c>
      <c r="F7" s="26">
        <f t="shared" si="1"/>
        <v>24.343839541547279</v>
      </c>
      <c r="G7" s="26">
        <f t="shared" si="0"/>
        <v>17.820439350525312</v>
      </c>
      <c r="H7" s="26">
        <f t="shared" si="0"/>
        <v>21.204584527220629</v>
      </c>
      <c r="I7" s="26">
        <f t="shared" si="2"/>
        <v>0.80802292263610553</v>
      </c>
      <c r="J7">
        <f t="shared" si="3"/>
        <v>-3.1392550143266504</v>
      </c>
      <c r="K7" s="27">
        <f t="shared" si="4"/>
        <v>10.507823088480411</v>
      </c>
      <c r="M7" s="40">
        <f t="shared" ref="M7:M8" si="5">1-EXP(-POWER(N7/$N$3,2)/2)</f>
        <v>0.39581025125900826</v>
      </c>
      <c r="N7" s="41">
        <v>1.7</v>
      </c>
      <c r="R7" s="42"/>
      <c r="S7" s="55" t="s">
        <v>32</v>
      </c>
      <c r="T7" s="57">
        <f>STDEV(T9:T28)</f>
        <v>19.998618373330324</v>
      </c>
      <c r="U7" s="44"/>
      <c r="V7" s="44"/>
      <c r="W7" s="44"/>
      <c r="X7" s="44"/>
      <c r="Y7" s="45"/>
    </row>
    <row r="8" spans="1:25" ht="13" x14ac:dyDescent="0.3">
      <c r="A8" s="24">
        <v>1</v>
      </c>
      <c r="B8" s="25">
        <v>25</v>
      </c>
      <c r="C8" s="24">
        <v>5.0999999999999996</v>
      </c>
      <c r="D8" s="24">
        <v>6.1420000000000003</v>
      </c>
      <c r="E8" s="26">
        <f t="shared" si="1"/>
        <v>19.484240687679083</v>
      </c>
      <c r="F8" s="26">
        <f t="shared" si="1"/>
        <v>23.46513849092646</v>
      </c>
      <c r="G8" s="26">
        <f t="shared" si="0"/>
        <v>17.820439350525312</v>
      </c>
      <c r="H8" s="26">
        <f t="shared" si="0"/>
        <v>21.204584527220629</v>
      </c>
      <c r="I8" s="26">
        <f t="shared" si="2"/>
        <v>1.663801337153771</v>
      </c>
      <c r="J8">
        <f t="shared" si="3"/>
        <v>-2.2605539637058314</v>
      </c>
      <c r="K8" s="27">
        <f t="shared" si="4"/>
        <v>7.8783391123408215</v>
      </c>
      <c r="M8" s="40">
        <f t="shared" si="5"/>
        <v>0.79177497102950367</v>
      </c>
      <c r="N8" s="41">
        <v>3</v>
      </c>
      <c r="S8" s="53" t="s">
        <v>29</v>
      </c>
      <c r="T8" s="54" t="s">
        <v>30</v>
      </c>
    </row>
    <row r="9" spans="1:25" x14ac:dyDescent="0.25">
      <c r="A9" s="24">
        <v>1</v>
      </c>
      <c r="B9" s="25">
        <v>25</v>
      </c>
      <c r="C9" s="24">
        <v>5.3230000000000004</v>
      </c>
      <c r="D9" s="24">
        <v>5.62</v>
      </c>
      <c r="E9" s="26">
        <f t="shared" si="1"/>
        <v>20.336198662846229</v>
      </c>
      <c r="F9" s="26">
        <f t="shared" si="1"/>
        <v>21.470869149952247</v>
      </c>
      <c r="G9" s="26">
        <f t="shared" si="0"/>
        <v>17.820439350525312</v>
      </c>
      <c r="H9" s="26">
        <f t="shared" si="0"/>
        <v>21.204584527220629</v>
      </c>
      <c r="I9" s="26">
        <f t="shared" si="2"/>
        <v>2.5157593123209168</v>
      </c>
      <c r="J9">
        <f t="shared" si="3"/>
        <v>-0.26628462273161801</v>
      </c>
      <c r="K9" s="27">
        <f t="shared" si="4"/>
        <v>6.3999524178327318</v>
      </c>
      <c r="M9" s="29" t="s">
        <v>25</v>
      </c>
      <c r="N9" s="47">
        <f>N3*SQRT(LN(4))</f>
        <v>1.9939015178301711</v>
      </c>
      <c r="S9">
        <v>20</v>
      </c>
      <c r="T9">
        <v>918</v>
      </c>
    </row>
    <row r="10" spans="1:25" x14ac:dyDescent="0.25">
      <c r="A10" s="24">
        <v>1</v>
      </c>
      <c r="B10" s="25">
        <v>25</v>
      </c>
      <c r="C10" s="24">
        <v>4.8280000000000003</v>
      </c>
      <c r="D10" s="24">
        <v>5.2539999999999996</v>
      </c>
      <c r="E10" s="26">
        <f t="shared" si="1"/>
        <v>18.4450811843362</v>
      </c>
      <c r="F10" s="26">
        <f t="shared" si="1"/>
        <v>20.07258834765998</v>
      </c>
      <c r="G10" s="26">
        <f t="shared" si="0"/>
        <v>17.820439350525312</v>
      </c>
      <c r="H10" s="26">
        <f t="shared" si="0"/>
        <v>21.204584527220629</v>
      </c>
      <c r="I10" s="26">
        <f t="shared" si="2"/>
        <v>0.62464183381088745</v>
      </c>
      <c r="J10">
        <f t="shared" si="3"/>
        <v>1.1319961795606481</v>
      </c>
      <c r="K10" s="27">
        <f t="shared" si="4"/>
        <v>1.6715927710865315</v>
      </c>
      <c r="S10">
        <v>19</v>
      </c>
      <c r="T10">
        <v>931</v>
      </c>
    </row>
    <row r="11" spans="1:25" x14ac:dyDescent="0.25">
      <c r="A11" s="24">
        <v>1</v>
      </c>
      <c r="B11" s="25">
        <v>25</v>
      </c>
      <c r="C11" s="24">
        <v>4.9029999999999996</v>
      </c>
      <c r="D11" s="24">
        <v>5.782</v>
      </c>
      <c r="E11" s="26">
        <f t="shared" si="1"/>
        <v>18.731614135625598</v>
      </c>
      <c r="F11" s="26">
        <f t="shared" si="1"/>
        <v>22.089780324737347</v>
      </c>
      <c r="G11" s="26">
        <f t="shared" si="0"/>
        <v>17.820439350525312</v>
      </c>
      <c r="H11" s="26">
        <f t="shared" si="0"/>
        <v>21.204584527220629</v>
      </c>
      <c r="I11" s="26">
        <f t="shared" si="2"/>
        <v>0.91117478510028604</v>
      </c>
      <c r="J11">
        <f t="shared" si="3"/>
        <v>-0.88519579751671884</v>
      </c>
      <c r="K11" s="27">
        <f t="shared" si="4"/>
        <v>1.6138110889438124</v>
      </c>
      <c r="S11">
        <v>18</v>
      </c>
      <c r="T11">
        <v>899</v>
      </c>
    </row>
    <row r="12" spans="1:25" x14ac:dyDescent="0.25">
      <c r="A12" s="24">
        <v>1</v>
      </c>
      <c r="B12" s="25">
        <v>25</v>
      </c>
      <c r="C12" s="48">
        <v>4.8209999999999997</v>
      </c>
      <c r="D12" s="48">
        <v>5.8570000000000002</v>
      </c>
      <c r="E12" s="49">
        <f t="shared" si="1"/>
        <v>18.418338108882523</v>
      </c>
      <c r="F12" s="49">
        <f t="shared" si="1"/>
        <v>22.376313276026746</v>
      </c>
      <c r="G12" s="49">
        <f t="shared" si="0"/>
        <v>17.820439350525312</v>
      </c>
      <c r="H12" s="49">
        <f t="shared" si="0"/>
        <v>21.204584527220629</v>
      </c>
      <c r="I12" s="49">
        <f t="shared" si="2"/>
        <v>0.59789875835721062</v>
      </c>
      <c r="J12">
        <f t="shared" si="3"/>
        <v>-1.1717287488061174</v>
      </c>
      <c r="K12" s="49">
        <f t="shared" si="4"/>
        <v>1.7304311860238437</v>
      </c>
      <c r="S12">
        <v>17</v>
      </c>
      <c r="T12">
        <v>905</v>
      </c>
    </row>
    <row r="13" spans="1:25" x14ac:dyDescent="0.25">
      <c r="A13" s="24">
        <v>1</v>
      </c>
      <c r="B13" s="25">
        <v>25</v>
      </c>
      <c r="C13" s="24">
        <v>4.3470000000000004</v>
      </c>
      <c r="D13" s="24">
        <v>5.681</v>
      </c>
      <c r="E13" s="26">
        <f t="shared" si="1"/>
        <v>16.607449856733528</v>
      </c>
      <c r="F13" s="26">
        <f t="shared" si="1"/>
        <v>21.703915950334292</v>
      </c>
      <c r="G13" s="26">
        <f t="shared" si="0"/>
        <v>17.820439350525312</v>
      </c>
      <c r="H13" s="26">
        <f t="shared" si="0"/>
        <v>21.204584527220629</v>
      </c>
      <c r="I13" s="26">
        <f t="shared" si="2"/>
        <v>-1.2129894937917847</v>
      </c>
      <c r="J13">
        <f t="shared" si="3"/>
        <v>-0.49933142311366296</v>
      </c>
      <c r="K13" s="27">
        <f t="shared" si="4"/>
        <v>1.7206753821579659</v>
      </c>
      <c r="S13">
        <v>16</v>
      </c>
      <c r="T13">
        <v>904</v>
      </c>
    </row>
    <row r="14" spans="1:25" x14ac:dyDescent="0.25">
      <c r="A14" s="24">
        <v>1</v>
      </c>
      <c r="B14" s="25">
        <v>25</v>
      </c>
      <c r="C14" s="24">
        <v>4.5910000000000002</v>
      </c>
      <c r="D14" s="24">
        <v>5.8840000000000003</v>
      </c>
      <c r="E14" s="26">
        <f t="shared" si="1"/>
        <v>17.5396370582617</v>
      </c>
      <c r="F14" s="26">
        <f t="shared" si="1"/>
        <v>22.47946513849093</v>
      </c>
      <c r="G14" s="26">
        <f t="shared" si="0"/>
        <v>17.820439350525312</v>
      </c>
      <c r="H14" s="26">
        <f t="shared" si="0"/>
        <v>21.204584527220629</v>
      </c>
      <c r="I14" s="26">
        <f t="shared" si="2"/>
        <v>-0.28080229226361197</v>
      </c>
      <c r="J14">
        <f t="shared" si="3"/>
        <v>-1.2748806112703015</v>
      </c>
      <c r="K14" s="27">
        <f t="shared" si="4"/>
        <v>1.7041705003334366</v>
      </c>
      <c r="S14">
        <v>15</v>
      </c>
      <c r="T14">
        <v>888</v>
      </c>
    </row>
    <row r="15" spans="1:25" x14ac:dyDescent="0.25">
      <c r="A15" s="24">
        <v>1</v>
      </c>
      <c r="B15" s="25">
        <v>25</v>
      </c>
      <c r="C15" s="24">
        <v>4.4279999999999999</v>
      </c>
      <c r="D15" s="24">
        <v>5.7619999999999996</v>
      </c>
      <c r="E15" s="26">
        <f t="shared" si="1"/>
        <v>16.916905444126076</v>
      </c>
      <c r="F15" s="26">
        <f t="shared" si="1"/>
        <v>22.013371537726837</v>
      </c>
      <c r="G15" s="26">
        <f t="shared" si="0"/>
        <v>17.820439350525312</v>
      </c>
      <c r="H15" s="26">
        <f t="shared" si="0"/>
        <v>21.204584527220629</v>
      </c>
      <c r="I15" s="26">
        <f t="shared" si="2"/>
        <v>-0.90353390639923603</v>
      </c>
      <c r="J15">
        <f t="shared" si="3"/>
        <v>-0.80878701050620805</v>
      </c>
      <c r="K15" s="27">
        <f t="shared" si="4"/>
        <v>1.4705099483766326</v>
      </c>
      <c r="S15">
        <v>14</v>
      </c>
      <c r="T15">
        <v>864</v>
      </c>
    </row>
    <row r="16" spans="1:25" x14ac:dyDescent="0.25">
      <c r="A16" s="24">
        <v>1</v>
      </c>
      <c r="B16" s="25">
        <v>25</v>
      </c>
      <c r="C16" s="24">
        <v>4.5369999999999999</v>
      </c>
      <c r="D16" s="24">
        <v>5.5789999999999997</v>
      </c>
      <c r="E16" s="26">
        <f t="shared" si="1"/>
        <v>17.333333333333336</v>
      </c>
      <c r="F16" s="26">
        <f t="shared" si="1"/>
        <v>21.314231136580709</v>
      </c>
      <c r="G16" s="26">
        <f t="shared" si="0"/>
        <v>17.820439350525312</v>
      </c>
      <c r="H16" s="26">
        <f t="shared" si="0"/>
        <v>21.204584527220629</v>
      </c>
      <c r="I16" s="26">
        <f t="shared" si="2"/>
        <v>-0.48710601719197655</v>
      </c>
      <c r="J16">
        <f t="shared" si="3"/>
        <v>-0.1096466093600803</v>
      </c>
      <c r="K16" s="27">
        <f t="shared" si="4"/>
        <v>0.24929465092879222</v>
      </c>
      <c r="S16">
        <v>13</v>
      </c>
      <c r="T16">
        <v>924</v>
      </c>
    </row>
    <row r="17" spans="1:20" x14ac:dyDescent="0.25">
      <c r="A17" s="24">
        <v>1</v>
      </c>
      <c r="B17" s="25">
        <v>25</v>
      </c>
      <c r="C17" s="24">
        <v>4.5910000000000002</v>
      </c>
      <c r="D17" s="24">
        <v>5.3689999999999998</v>
      </c>
      <c r="E17" s="26">
        <f t="shared" si="1"/>
        <v>17.5396370582617</v>
      </c>
      <c r="F17" s="26">
        <f t="shared" si="1"/>
        <v>20.511938872970394</v>
      </c>
      <c r="G17" s="26">
        <f t="shared" si="0"/>
        <v>17.820439350525312</v>
      </c>
      <c r="H17" s="26">
        <f t="shared" si="0"/>
        <v>21.204584527220629</v>
      </c>
      <c r="I17" s="26">
        <f t="shared" si="2"/>
        <v>-0.28080229226361197</v>
      </c>
      <c r="J17">
        <f t="shared" si="3"/>
        <v>0.69264565425023505</v>
      </c>
      <c r="K17" s="27">
        <f t="shared" si="4"/>
        <v>0.55860792969223516</v>
      </c>
      <c r="S17">
        <v>12</v>
      </c>
      <c r="T17">
        <v>875</v>
      </c>
    </row>
    <row r="18" spans="1:20" x14ac:dyDescent="0.25">
      <c r="A18" s="24">
        <v>1</v>
      </c>
      <c r="B18" s="25">
        <v>25</v>
      </c>
      <c r="C18" s="24">
        <v>4.6660000000000004</v>
      </c>
      <c r="D18" s="24">
        <v>5.3689999999999998</v>
      </c>
      <c r="E18" s="26">
        <f t="shared" si="1"/>
        <v>17.826170009551102</v>
      </c>
      <c r="F18" s="26">
        <f t="shared" si="1"/>
        <v>20.511938872970394</v>
      </c>
      <c r="G18" s="26">
        <f t="shared" si="0"/>
        <v>17.820439350525312</v>
      </c>
      <c r="H18" s="26">
        <f t="shared" si="0"/>
        <v>21.204584527220629</v>
      </c>
      <c r="I18" s="26">
        <f t="shared" si="2"/>
        <v>5.7306590257901746E-3</v>
      </c>
      <c r="J18">
        <f t="shared" si="3"/>
        <v>0.69264565425023505</v>
      </c>
      <c r="K18" s="27">
        <f t="shared" si="4"/>
        <v>0.47979084280460604</v>
      </c>
      <c r="S18">
        <v>11</v>
      </c>
      <c r="T18">
        <v>932</v>
      </c>
    </row>
    <row r="19" spans="1:20" x14ac:dyDescent="0.25">
      <c r="A19" s="24">
        <v>1</v>
      </c>
      <c r="B19" s="25">
        <v>25</v>
      </c>
      <c r="C19" s="24">
        <v>4.6050000000000004</v>
      </c>
      <c r="D19" s="24">
        <v>5.5389999999999997</v>
      </c>
      <c r="E19" s="26">
        <f t="shared" si="1"/>
        <v>17.593123209169057</v>
      </c>
      <c r="F19" s="26">
        <f t="shared" si="1"/>
        <v>21.161413562559694</v>
      </c>
      <c r="G19" s="26">
        <f t="shared" si="0"/>
        <v>17.820439350525312</v>
      </c>
      <c r="H19" s="26">
        <f t="shared" si="0"/>
        <v>21.204584527220629</v>
      </c>
      <c r="I19" s="26">
        <f t="shared" si="2"/>
        <v>-0.22731614135625478</v>
      </c>
      <c r="J19">
        <f t="shared" si="3"/>
        <v>4.3170964660934175E-2</v>
      </c>
      <c r="K19" s="27">
        <f t="shared" si="4"/>
        <v>5.3536360310852432E-2</v>
      </c>
      <c r="S19">
        <v>10</v>
      </c>
      <c r="T19">
        <v>876</v>
      </c>
    </row>
    <row r="20" spans="1:20" x14ac:dyDescent="0.25">
      <c r="A20" s="24">
        <v>1</v>
      </c>
      <c r="B20" s="25">
        <v>25</v>
      </c>
      <c r="C20" s="24">
        <v>4.4550000000000001</v>
      </c>
      <c r="D20" s="24">
        <v>5.274</v>
      </c>
      <c r="E20" s="26">
        <f t="shared" si="1"/>
        <v>17.02005730659026</v>
      </c>
      <c r="F20" s="26">
        <f t="shared" si="1"/>
        <v>20.148997134670488</v>
      </c>
      <c r="G20" s="26">
        <f t="shared" si="0"/>
        <v>17.820439350525312</v>
      </c>
      <c r="H20" s="26">
        <f t="shared" si="0"/>
        <v>21.204584527220629</v>
      </c>
      <c r="I20" s="26">
        <f t="shared" si="2"/>
        <v>-0.80038204393505197</v>
      </c>
      <c r="J20">
        <f t="shared" si="3"/>
        <v>1.0555873925501409</v>
      </c>
      <c r="K20" s="27">
        <f t="shared" si="4"/>
        <v>1.7548761595644566</v>
      </c>
      <c r="S20">
        <v>9</v>
      </c>
      <c r="T20">
        <v>895</v>
      </c>
    </row>
    <row r="21" spans="1:20" x14ac:dyDescent="0.25">
      <c r="A21" s="24">
        <v>1</v>
      </c>
      <c r="B21" s="25">
        <v>25</v>
      </c>
      <c r="C21" s="24">
        <v>4.6050000000000004</v>
      </c>
      <c r="D21" s="24">
        <v>5.4569999999999999</v>
      </c>
      <c r="E21" s="26">
        <f t="shared" si="1"/>
        <v>17.593123209169057</v>
      </c>
      <c r="F21" s="26">
        <f t="shared" si="1"/>
        <v>20.848137535816619</v>
      </c>
      <c r="G21" s="26">
        <f t="shared" si="0"/>
        <v>17.820439350525312</v>
      </c>
      <c r="H21" s="26">
        <f t="shared" si="0"/>
        <v>21.204584527220629</v>
      </c>
      <c r="I21" s="26">
        <f t="shared" si="2"/>
        <v>-0.22731614135625478</v>
      </c>
      <c r="J21">
        <f t="shared" si="3"/>
        <v>0.35644699140400959</v>
      </c>
      <c r="K21" s="27">
        <f t="shared" si="4"/>
        <v>0.17872708580206689</v>
      </c>
      <c r="S21">
        <v>8</v>
      </c>
      <c r="T21">
        <v>909</v>
      </c>
    </row>
    <row r="22" spans="1:20" x14ac:dyDescent="0.25">
      <c r="A22" s="24">
        <v>1</v>
      </c>
      <c r="B22" s="25">
        <v>25</v>
      </c>
      <c r="C22" s="48">
        <v>4.468</v>
      </c>
      <c r="D22" s="48">
        <v>5.6879999999999997</v>
      </c>
      <c r="E22" s="49">
        <f t="shared" si="1"/>
        <v>17.069723018147087</v>
      </c>
      <c r="F22" s="49">
        <f t="shared" si="1"/>
        <v>21.730659025787965</v>
      </c>
      <c r="G22" s="49">
        <f t="shared" si="0"/>
        <v>17.820439350525312</v>
      </c>
      <c r="H22" s="49">
        <f t="shared" si="0"/>
        <v>21.204584527220629</v>
      </c>
      <c r="I22" s="49">
        <f t="shared" si="2"/>
        <v>-0.7507163323782251</v>
      </c>
      <c r="J22">
        <f t="shared" si="3"/>
        <v>-0.52607449856733624</v>
      </c>
      <c r="K22" s="49">
        <f t="shared" si="4"/>
        <v>0.84032938974228788</v>
      </c>
      <c r="S22">
        <v>7</v>
      </c>
      <c r="T22">
        <v>919</v>
      </c>
    </row>
    <row r="23" spans="1:20" x14ac:dyDescent="0.25">
      <c r="A23" s="24"/>
      <c r="B23" s="25"/>
      <c r="C23" s="24"/>
      <c r="D23" s="24"/>
      <c r="F23" s="26"/>
      <c r="G23" s="26"/>
      <c r="H23" s="26"/>
      <c r="I23" s="26"/>
      <c r="K23" s="27"/>
      <c r="S23">
        <v>6</v>
      </c>
      <c r="T23">
        <v>888</v>
      </c>
    </row>
    <row r="24" spans="1:20" x14ac:dyDescent="0.25">
      <c r="A24" s="24"/>
      <c r="B24" s="25"/>
      <c r="C24" s="24"/>
      <c r="D24" s="24"/>
      <c r="F24" s="26"/>
      <c r="G24" s="26"/>
      <c r="H24" s="26"/>
      <c r="I24" s="26"/>
      <c r="K24" s="27"/>
      <c r="S24">
        <v>5</v>
      </c>
      <c r="T24">
        <v>914</v>
      </c>
    </row>
    <row r="25" spans="1:20" x14ac:dyDescent="0.25">
      <c r="A25" s="24"/>
      <c r="B25" s="25"/>
      <c r="C25" s="24"/>
      <c r="D25" s="24"/>
      <c r="F25" s="26"/>
      <c r="G25" s="26"/>
      <c r="H25" s="26"/>
      <c r="I25" s="26"/>
      <c r="K25" s="27"/>
      <c r="S25">
        <v>4</v>
      </c>
      <c r="T25">
        <v>933</v>
      </c>
    </row>
    <row r="26" spans="1:20" x14ac:dyDescent="0.25">
      <c r="A26" s="24"/>
      <c r="B26" s="25"/>
      <c r="C26" s="24"/>
      <c r="D26" s="24"/>
      <c r="F26" s="26"/>
      <c r="G26" s="26"/>
      <c r="H26" s="26"/>
      <c r="I26" s="26"/>
      <c r="K26" s="27"/>
      <c r="S26">
        <v>3</v>
      </c>
      <c r="T26">
        <v>891</v>
      </c>
    </row>
    <row r="27" spans="1:20" x14ac:dyDescent="0.25">
      <c r="A27" s="24"/>
      <c r="B27" s="25"/>
      <c r="C27" s="24"/>
      <c r="D27" s="24"/>
      <c r="F27" s="26"/>
      <c r="G27" s="26"/>
      <c r="H27" s="26"/>
      <c r="I27" s="26"/>
      <c r="K27" s="27"/>
      <c r="S27">
        <v>2</v>
      </c>
      <c r="T27">
        <v>903</v>
      </c>
    </row>
    <row r="28" spans="1:20" x14ac:dyDescent="0.25">
      <c r="A28" s="24"/>
      <c r="B28" s="25"/>
      <c r="C28" s="24"/>
      <c r="D28" s="24"/>
      <c r="F28" s="26"/>
      <c r="G28" s="26"/>
      <c r="H28" s="26"/>
      <c r="I28" s="26"/>
      <c r="K28" s="27"/>
      <c r="S28">
        <v>1</v>
      </c>
      <c r="T28">
        <v>921</v>
      </c>
    </row>
    <row r="29" spans="1:20" x14ac:dyDescent="0.25">
      <c r="A29" s="24"/>
      <c r="B29" s="25"/>
      <c r="C29" s="24"/>
      <c r="D29" s="24"/>
      <c r="F29" s="26"/>
      <c r="G29" s="26"/>
      <c r="H29" s="26"/>
      <c r="I29" s="26"/>
      <c r="K29" s="27"/>
    </row>
    <row r="30" spans="1:20" x14ac:dyDescent="0.25">
      <c r="A30" s="24"/>
      <c r="B30" s="25"/>
      <c r="C30" s="24"/>
      <c r="D30" s="24"/>
      <c r="F30" s="26"/>
      <c r="G30" s="26"/>
      <c r="H30" s="26"/>
      <c r="I30" s="26"/>
      <c r="K30" s="27"/>
    </row>
    <row r="31" spans="1:20" x14ac:dyDescent="0.25">
      <c r="A31" s="24"/>
      <c r="B31" s="25"/>
      <c r="C31" s="24"/>
      <c r="D31" s="24"/>
      <c r="F31" s="26"/>
      <c r="G31" s="26"/>
      <c r="H31" s="26"/>
      <c r="I31" s="26"/>
      <c r="K31" s="27"/>
    </row>
    <row r="32" spans="1:20" x14ac:dyDescent="0.25">
      <c r="A32" s="24"/>
      <c r="B32" s="25"/>
      <c r="C32" s="24"/>
      <c r="D32" s="24"/>
      <c r="F32" s="26"/>
      <c r="G32" s="26"/>
      <c r="H32" s="26"/>
      <c r="I32" s="26"/>
      <c r="K32" s="27"/>
    </row>
  </sheetData>
  <mergeCells count="2">
    <mergeCell ref="C1:D1"/>
    <mergeCell ref="E1:K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="85" zoomScaleNormal="85" workbookViewId="0">
      <pane ySplit="1" topLeftCell="A2" activePane="bottomLeft" state="frozen"/>
      <selection activeCell="P2" sqref="P2"/>
      <selection pane="bottomLeft" activeCell="A2" sqref="A2"/>
    </sheetView>
  </sheetViews>
  <sheetFormatPr defaultRowHeight="12.5" x14ac:dyDescent="0.25"/>
  <cols>
    <col min="1" max="1" width="6.26953125" bestFit="1" customWidth="1"/>
    <col min="2" max="2" width="8.26953125" style="50" bestFit="1" customWidth="1"/>
    <col min="5" max="5" width="8.7265625" style="26"/>
    <col min="11" max="11" width="8.7265625" style="50"/>
    <col min="12" max="12" width="8.7265625" style="28"/>
    <col min="13" max="13" width="18.36328125" bestFit="1" customWidth="1"/>
    <col min="16" max="16" width="11.08984375" customWidth="1"/>
    <col min="17" max="17" width="10.90625" customWidth="1"/>
    <col min="18" max="18" width="11.54296875" style="46" customWidth="1"/>
    <col min="19" max="20" width="8.7265625" style="46" customWidth="1"/>
    <col min="21" max="22" width="8.7265625" style="21"/>
  </cols>
  <sheetData>
    <row r="1" spans="1:25" ht="13.5" thickBot="1" x14ac:dyDescent="0.35">
      <c r="B1" s="1" t="s">
        <v>0</v>
      </c>
      <c r="C1" s="60" t="s">
        <v>1</v>
      </c>
      <c r="D1" s="61"/>
      <c r="E1" s="62" t="s">
        <v>2</v>
      </c>
      <c r="F1" s="63"/>
      <c r="G1" s="63"/>
      <c r="H1" s="63"/>
      <c r="I1" s="63"/>
      <c r="J1" s="63"/>
      <c r="K1" s="63"/>
      <c r="L1" s="2"/>
      <c r="M1" s="3" t="s">
        <v>3</v>
      </c>
      <c r="N1" s="4">
        <f>ROUND(10*N3,0)</f>
        <v>17</v>
      </c>
      <c r="P1" s="51" t="s">
        <v>4</v>
      </c>
      <c r="Q1" s="5" t="s">
        <v>5</v>
      </c>
      <c r="R1" s="6" t="s">
        <v>6</v>
      </c>
      <c r="S1" t="s">
        <v>7</v>
      </c>
      <c r="T1" t="s">
        <v>8</v>
      </c>
      <c r="U1" s="7" t="s">
        <v>9</v>
      </c>
      <c r="V1" s="7" t="s">
        <v>10</v>
      </c>
      <c r="W1" s="8" t="s">
        <v>11</v>
      </c>
      <c r="X1" s="9" t="s">
        <v>12</v>
      </c>
      <c r="Y1" s="10">
        <v>0.8</v>
      </c>
    </row>
    <row r="2" spans="1:25" ht="13" x14ac:dyDescent="0.3">
      <c r="A2" s="11" t="s">
        <v>4</v>
      </c>
      <c r="B2" s="12" t="s">
        <v>13</v>
      </c>
      <c r="C2" s="11" t="s">
        <v>14</v>
      </c>
      <c r="D2" s="11" t="s">
        <v>15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19</v>
      </c>
      <c r="K2" s="14" t="s">
        <v>20</v>
      </c>
      <c r="L2" s="15"/>
      <c r="M2" s="16" t="s">
        <v>21</v>
      </c>
      <c r="N2" s="17">
        <f>SQRT(GETPIVOTDATA("Sum Radius^2",$P$1)/CHIINV(0.5,2*GETPIVOTDATA("Count of Group",$P$1)-2*COUNT(P:P)))</f>
        <v>1.437776931672204</v>
      </c>
      <c r="P2">
        <v>1</v>
      </c>
      <c r="Q2" s="18">
        <v>77.179941416280997</v>
      </c>
      <c r="R2" s="19">
        <v>20</v>
      </c>
      <c r="S2" s="20">
        <v>1.3897731909931597</v>
      </c>
      <c r="T2" s="20">
        <v>1.4596686806946819</v>
      </c>
      <c r="U2" s="21">
        <f>2*R2-1</f>
        <v>39</v>
      </c>
      <c r="V2" s="21">
        <f>1/EXP(LN(SQRT(2/(U2-1))) + GAMMALN(U2/2) - GAMMALN((U2-1)/2))</f>
        <v>1.006599872458809</v>
      </c>
      <c r="W2" s="22">
        <f>V2*SQRT(Q2/(2*(R2-1)))</f>
        <v>1.4345553023043884</v>
      </c>
      <c r="X2" s="23">
        <f>SQRT(Q2/CHIINV((1-Y$1)/2,2*R2-2))</f>
        <v>1.2485169549842132</v>
      </c>
      <c r="Y2" s="23">
        <f>SQRT(Q2/CHIINV(0.5+Y$1/2,2*R2-2))</f>
        <v>1.6800783592901529</v>
      </c>
    </row>
    <row r="3" spans="1:25" ht="13" x14ac:dyDescent="0.3">
      <c r="A3" s="24">
        <v>1</v>
      </c>
      <c r="B3" s="25">
        <v>50</v>
      </c>
      <c r="C3" s="24">
        <v>5.6909999999999998</v>
      </c>
      <c r="D3" s="24">
        <v>3.7010000000000001</v>
      </c>
      <c r="E3" s="26">
        <f>(C3)/(0.01047*$B3)</f>
        <v>10.871060171919771</v>
      </c>
      <c r="F3" s="26">
        <f>(D3)/(0.01047*$B3)</f>
        <v>7.0697230181470871</v>
      </c>
      <c r="G3" s="26">
        <f t="shared" ref="G3:H22" si="0">AVERAGEIF($A:$A,"="&amp;$A3,E:E)</f>
        <v>7.4844317096466089</v>
      </c>
      <c r="H3" s="26">
        <f t="shared" si="0"/>
        <v>10.236103151862466</v>
      </c>
      <c r="I3" s="26">
        <f>E3-G3</f>
        <v>3.3866284622731619</v>
      </c>
      <c r="J3">
        <f>H3-F3</f>
        <v>3.1663801337153785</v>
      </c>
      <c r="K3" s="27">
        <f>POWER(E3-G3,2)+POWER(F3-H3,2)</f>
        <v>21.495215492666098</v>
      </c>
      <c r="M3" s="29" t="s">
        <v>22</v>
      </c>
      <c r="N3" s="30">
        <f>SQRT(GETPIVOTDATA("Sum Radius^2",$P$1)/CHIINV(0.9,2*GETPIVOTDATA("Count of Group",$P$1)-2*COUNT(P:P)))</f>
        <v>1.6800783592901529</v>
      </c>
      <c r="P3" s="31" t="s">
        <v>23</v>
      </c>
      <c r="Q3" s="32">
        <v>77.179941416280997</v>
      </c>
      <c r="R3" s="33">
        <v>20</v>
      </c>
      <c r="S3" s="20">
        <v>1.3897731909931597</v>
      </c>
      <c r="T3" s="20">
        <v>1.4596686806946819</v>
      </c>
      <c r="U3" s="21">
        <f>2*R3-1</f>
        <v>39</v>
      </c>
      <c r="V3" s="21">
        <f>1/EXP(LN(SQRT(2/(U3-1))) + GAMMALN(U3/2) - GAMMALN((U3-1)/2))</f>
        <v>1.006599872458809</v>
      </c>
      <c r="W3" s="22">
        <f>V3*SQRT(Q3/(2*(R3-1)))</f>
        <v>1.4345553023043884</v>
      </c>
      <c r="X3" s="23">
        <f>SQRT(Q3/CHIINV((1-Y$1)/2,2*R3-2))</f>
        <v>1.2485169549842132</v>
      </c>
      <c r="Y3" s="23">
        <f>SQRT(Q3/CHIINV(0.5+Y$1/2,2*R3-2))</f>
        <v>1.6800783592901529</v>
      </c>
    </row>
    <row r="4" spans="1:25" ht="13" x14ac:dyDescent="0.3">
      <c r="A4" s="24">
        <v>1</v>
      </c>
      <c r="B4" s="25">
        <v>50</v>
      </c>
      <c r="C4" s="24">
        <v>3.2480000000000002</v>
      </c>
      <c r="D4" s="24">
        <v>4.181</v>
      </c>
      <c r="E4" s="26">
        <f t="shared" ref="E4:F22" si="1">(C4)/(0.01047*$B4)</f>
        <v>6.2043935052531047</v>
      </c>
      <c r="F4" s="26">
        <f t="shared" si="1"/>
        <v>7.9866284622731625</v>
      </c>
      <c r="G4" s="26">
        <f t="shared" si="0"/>
        <v>7.4844317096466089</v>
      </c>
      <c r="H4" s="26">
        <f t="shared" si="0"/>
        <v>10.236103151862466</v>
      </c>
      <c r="I4" s="26">
        <f t="shared" ref="I4:I22" si="2">E4-G4</f>
        <v>-1.2800382043935041</v>
      </c>
      <c r="J4">
        <f t="shared" ref="J4:J22" si="3">H4-F4</f>
        <v>2.2494746895893032</v>
      </c>
      <c r="K4" s="27">
        <f t="shared" ref="K4:K22" si="4">POWER(E4-G4,2)+POWER(F4-H4,2)</f>
        <v>6.6986341838098387</v>
      </c>
      <c r="R4"/>
      <c r="S4"/>
      <c r="T4"/>
      <c r="W4" s="22"/>
      <c r="X4" s="23"/>
      <c r="Y4" s="23"/>
    </row>
    <row r="5" spans="1:25" ht="13" x14ac:dyDescent="0.3">
      <c r="A5" s="24">
        <v>1</v>
      </c>
      <c r="B5" s="25">
        <v>50</v>
      </c>
      <c r="C5" s="24">
        <v>3.58</v>
      </c>
      <c r="D5" s="24">
        <v>4.3360000000000003</v>
      </c>
      <c r="E5" s="26">
        <f t="shared" si="1"/>
        <v>6.8385864374403065</v>
      </c>
      <c r="F5" s="26">
        <f t="shared" si="1"/>
        <v>8.2827125119388736</v>
      </c>
      <c r="G5" s="26">
        <f t="shared" si="0"/>
        <v>7.4844317096466089</v>
      </c>
      <c r="H5" s="26">
        <f t="shared" si="0"/>
        <v>10.236103151862466</v>
      </c>
      <c r="I5" s="26">
        <f t="shared" si="2"/>
        <v>-0.64584527220630239</v>
      </c>
      <c r="J5">
        <f t="shared" si="3"/>
        <v>1.9533906399235921</v>
      </c>
      <c r="K5" s="27">
        <f t="shared" si="4"/>
        <v>4.2328511077723334</v>
      </c>
      <c r="M5" s="34" t="s">
        <v>24</v>
      </c>
      <c r="N5" s="35" t="s">
        <v>2</v>
      </c>
      <c r="R5"/>
      <c r="S5"/>
      <c r="T5"/>
      <c r="U5" s="36"/>
      <c r="V5" s="36"/>
      <c r="W5" s="37"/>
      <c r="X5" s="38"/>
      <c r="Y5" s="39"/>
    </row>
    <row r="6" spans="1:25" ht="13" x14ac:dyDescent="0.3">
      <c r="A6" s="24">
        <v>1</v>
      </c>
      <c r="B6" s="25">
        <v>50</v>
      </c>
      <c r="C6" s="24">
        <v>3.6739999999999999</v>
      </c>
      <c r="D6" s="24">
        <v>4.4039999999999999</v>
      </c>
      <c r="E6" s="26">
        <f t="shared" si="1"/>
        <v>7.018147086914996</v>
      </c>
      <c r="F6" s="26">
        <f t="shared" si="1"/>
        <v>8.4126074498567345</v>
      </c>
      <c r="G6" s="26">
        <f t="shared" si="0"/>
        <v>7.4844317096466089</v>
      </c>
      <c r="H6" s="26">
        <f t="shared" si="0"/>
        <v>10.236103151862466</v>
      </c>
      <c r="I6" s="26">
        <f t="shared" si="2"/>
        <v>-0.46628462273161286</v>
      </c>
      <c r="J6">
        <f t="shared" si="3"/>
        <v>1.8234957020057312</v>
      </c>
      <c r="K6" s="27">
        <f t="shared" si="4"/>
        <v>3.5425579246293371</v>
      </c>
      <c r="M6" s="40">
        <f>1-EXP(-POWER(N6/$N$3,2)/2)</f>
        <v>0.16233554498393654</v>
      </c>
      <c r="N6" s="41">
        <v>1</v>
      </c>
      <c r="R6" s="42"/>
      <c r="S6" s="55" t="s">
        <v>31</v>
      </c>
      <c r="T6" s="56">
        <f>AVERAGE(T9:T28)</f>
        <v>904.45</v>
      </c>
      <c r="Y6" s="43"/>
    </row>
    <row r="7" spans="1:25" ht="13" x14ac:dyDescent="0.3">
      <c r="A7" s="24">
        <v>1</v>
      </c>
      <c r="B7" s="25">
        <v>50</v>
      </c>
      <c r="C7" s="24">
        <v>4.0869999999999997</v>
      </c>
      <c r="D7" s="24">
        <v>4.5259999999999998</v>
      </c>
      <c r="E7" s="26">
        <f t="shared" si="1"/>
        <v>7.8070678127984721</v>
      </c>
      <c r="F7" s="26">
        <f t="shared" si="1"/>
        <v>8.6456542502387776</v>
      </c>
      <c r="G7" s="26">
        <f t="shared" si="0"/>
        <v>7.4844317096466089</v>
      </c>
      <c r="H7" s="26">
        <f t="shared" si="0"/>
        <v>10.236103151862466</v>
      </c>
      <c r="I7" s="26">
        <f t="shared" si="2"/>
        <v>0.3226361031518632</v>
      </c>
      <c r="J7">
        <f t="shared" si="3"/>
        <v>1.590448901623688</v>
      </c>
      <c r="K7" s="27">
        <f t="shared" si="4"/>
        <v>2.6336217637330153</v>
      </c>
      <c r="M7" s="40">
        <f t="shared" ref="M7:M8" si="5">1-EXP(-POWER(N7/$N$3,2)/2)</f>
        <v>0.40066098179895171</v>
      </c>
      <c r="N7" s="41">
        <v>1.7</v>
      </c>
      <c r="R7" s="42"/>
      <c r="S7" s="55" t="s">
        <v>32</v>
      </c>
      <c r="T7" s="57">
        <f>STDEV(T9:T28)</f>
        <v>19.998618373330324</v>
      </c>
      <c r="U7" s="44"/>
      <c r="V7" s="44"/>
      <c r="W7" s="44"/>
      <c r="X7" s="44"/>
      <c r="Y7" s="45"/>
    </row>
    <row r="8" spans="1:25" ht="13" x14ac:dyDescent="0.3">
      <c r="A8" s="24">
        <v>1</v>
      </c>
      <c r="B8" s="25">
        <v>50</v>
      </c>
      <c r="C8" s="24">
        <v>3.5190000000000001</v>
      </c>
      <c r="D8" s="24">
        <v>4.8369999999999997</v>
      </c>
      <c r="E8" s="26">
        <f t="shared" si="1"/>
        <v>6.722063037249284</v>
      </c>
      <c r="F8" s="26">
        <f t="shared" si="1"/>
        <v>9.2397325692454633</v>
      </c>
      <c r="G8" s="26">
        <f t="shared" si="0"/>
        <v>7.4844317096466089</v>
      </c>
      <c r="H8" s="26">
        <f t="shared" si="0"/>
        <v>10.236103151862466</v>
      </c>
      <c r="I8" s="26">
        <f t="shared" si="2"/>
        <v>-0.76236867239732486</v>
      </c>
      <c r="J8">
        <f t="shared" si="3"/>
        <v>0.9963705826170024</v>
      </c>
      <c r="K8" s="27">
        <f t="shared" si="4"/>
        <v>1.5739603305574046</v>
      </c>
      <c r="M8" s="40">
        <f t="shared" si="5"/>
        <v>0.79693700609072238</v>
      </c>
      <c r="N8" s="41">
        <v>3</v>
      </c>
      <c r="S8" s="53" t="s">
        <v>29</v>
      </c>
      <c r="T8" s="54" t="s">
        <v>30</v>
      </c>
    </row>
    <row r="9" spans="1:25" x14ac:dyDescent="0.25">
      <c r="A9" s="24">
        <v>1</v>
      </c>
      <c r="B9" s="25">
        <v>50</v>
      </c>
      <c r="C9" s="24">
        <v>2.5920000000000001</v>
      </c>
      <c r="D9" s="24">
        <v>5.7439999999999998</v>
      </c>
      <c r="E9" s="26">
        <f t="shared" si="1"/>
        <v>4.9512893982808031</v>
      </c>
      <c r="F9" s="26">
        <f t="shared" si="1"/>
        <v>10.972301814708691</v>
      </c>
      <c r="G9" s="26">
        <f t="shared" si="0"/>
        <v>7.4844317096466089</v>
      </c>
      <c r="H9" s="26">
        <f t="shared" si="0"/>
        <v>10.236103151862466</v>
      </c>
      <c r="I9" s="26">
        <f t="shared" si="2"/>
        <v>-2.5331423113658058</v>
      </c>
      <c r="J9">
        <f t="shared" si="3"/>
        <v>-0.73619866284622582</v>
      </c>
      <c r="K9" s="27">
        <f t="shared" si="4"/>
        <v>6.9587984408082679</v>
      </c>
      <c r="M9" s="29" t="s">
        <v>25</v>
      </c>
      <c r="N9" s="47">
        <f>N3*SQRT(LN(4))</f>
        <v>1.9781410988395807</v>
      </c>
      <c r="S9">
        <v>20</v>
      </c>
      <c r="T9">
        <v>918</v>
      </c>
    </row>
    <row r="10" spans="1:25" x14ac:dyDescent="0.25">
      <c r="A10" s="24">
        <v>1</v>
      </c>
      <c r="B10" s="25">
        <v>50</v>
      </c>
      <c r="C10" s="24">
        <v>3.5529999999999999</v>
      </c>
      <c r="D10" s="24">
        <v>5.3380000000000001</v>
      </c>
      <c r="E10" s="26">
        <f t="shared" si="1"/>
        <v>6.7870105062082144</v>
      </c>
      <c r="F10" s="26">
        <f t="shared" si="1"/>
        <v>10.196752626552055</v>
      </c>
      <c r="G10" s="26">
        <f t="shared" si="0"/>
        <v>7.4844317096466089</v>
      </c>
      <c r="H10" s="26">
        <f t="shared" si="0"/>
        <v>10.236103151862466</v>
      </c>
      <c r="I10" s="26">
        <f t="shared" si="2"/>
        <v>-0.69742120343839442</v>
      </c>
      <c r="J10">
        <f t="shared" si="3"/>
        <v>3.9350525310410944E-2</v>
      </c>
      <c r="K10" s="27">
        <f t="shared" si="4"/>
        <v>0.48794479884766362</v>
      </c>
      <c r="S10">
        <v>19</v>
      </c>
      <c r="T10">
        <v>931</v>
      </c>
    </row>
    <row r="11" spans="1:25" x14ac:dyDescent="0.25">
      <c r="A11" s="24">
        <v>1</v>
      </c>
      <c r="B11" s="25">
        <v>50</v>
      </c>
      <c r="C11" s="24">
        <v>3.512</v>
      </c>
      <c r="D11" s="24">
        <v>5.4459999999999997</v>
      </c>
      <c r="E11" s="26">
        <f t="shared" si="1"/>
        <v>6.7086914995224456</v>
      </c>
      <c r="F11" s="26">
        <f t="shared" si="1"/>
        <v>10.403056351480421</v>
      </c>
      <c r="G11" s="26">
        <f t="shared" si="0"/>
        <v>7.4844317096466089</v>
      </c>
      <c r="H11" s="26">
        <f t="shared" si="0"/>
        <v>10.236103151862466</v>
      </c>
      <c r="I11" s="26">
        <f t="shared" si="2"/>
        <v>-0.77574021012416328</v>
      </c>
      <c r="J11">
        <f t="shared" si="3"/>
        <v>-0.16695319961795541</v>
      </c>
      <c r="K11" s="27">
        <f t="shared" si="4"/>
        <v>0.6296462444661538</v>
      </c>
      <c r="S11">
        <v>18</v>
      </c>
      <c r="T11">
        <v>899</v>
      </c>
    </row>
    <row r="12" spans="1:25" x14ac:dyDescent="0.25">
      <c r="A12" s="24">
        <v>1</v>
      </c>
      <c r="B12" s="25">
        <v>50</v>
      </c>
      <c r="C12" s="48">
        <v>3.4380000000000002</v>
      </c>
      <c r="D12" s="48">
        <v>5.5540000000000003</v>
      </c>
      <c r="E12" s="49">
        <f t="shared" si="1"/>
        <v>6.5673352435530097</v>
      </c>
      <c r="F12" s="49">
        <f t="shared" si="1"/>
        <v>10.609360076408787</v>
      </c>
      <c r="G12" s="49">
        <f t="shared" si="0"/>
        <v>7.4844317096466089</v>
      </c>
      <c r="H12" s="49">
        <f t="shared" si="0"/>
        <v>10.236103151862466</v>
      </c>
      <c r="I12" s="49">
        <f t="shared" si="2"/>
        <v>-0.91709646609359918</v>
      </c>
      <c r="J12">
        <f t="shared" si="3"/>
        <v>-0.37325692454632176</v>
      </c>
      <c r="K12" s="49">
        <f t="shared" si="4"/>
        <v>0.98038665984314666</v>
      </c>
      <c r="S12">
        <v>17</v>
      </c>
      <c r="T12">
        <v>905</v>
      </c>
    </row>
    <row r="13" spans="1:25" x14ac:dyDescent="0.25">
      <c r="A13" s="24">
        <v>1</v>
      </c>
      <c r="B13" s="25">
        <v>50</v>
      </c>
      <c r="C13" s="24">
        <v>3.323</v>
      </c>
      <c r="D13" s="24">
        <v>5.7439999999999998</v>
      </c>
      <c r="E13" s="26">
        <f t="shared" si="1"/>
        <v>6.3476599808978031</v>
      </c>
      <c r="F13" s="26">
        <f t="shared" si="1"/>
        <v>10.972301814708691</v>
      </c>
      <c r="G13" s="26">
        <f t="shared" si="0"/>
        <v>7.4844317096466089</v>
      </c>
      <c r="H13" s="26">
        <f t="shared" si="0"/>
        <v>10.236103151862466</v>
      </c>
      <c r="I13" s="26">
        <f t="shared" si="2"/>
        <v>-1.1367717287488057</v>
      </c>
      <c r="J13">
        <f t="shared" si="3"/>
        <v>-0.73619866284622582</v>
      </c>
      <c r="K13" s="27">
        <f t="shared" si="4"/>
        <v>1.8342384344591194</v>
      </c>
      <c r="S13">
        <v>16</v>
      </c>
      <c r="T13">
        <v>904</v>
      </c>
    </row>
    <row r="14" spans="1:25" x14ac:dyDescent="0.25">
      <c r="A14" s="24">
        <v>1</v>
      </c>
      <c r="B14" s="25">
        <v>50</v>
      </c>
      <c r="C14" s="24">
        <v>3.4849999999999999</v>
      </c>
      <c r="D14" s="24">
        <v>5.9189999999999996</v>
      </c>
      <c r="E14" s="26">
        <f t="shared" si="1"/>
        <v>6.6571155682903536</v>
      </c>
      <c r="F14" s="26">
        <f t="shared" si="1"/>
        <v>11.306590257879655</v>
      </c>
      <c r="G14" s="26">
        <f t="shared" si="0"/>
        <v>7.4844317096466089</v>
      </c>
      <c r="H14" s="26">
        <f t="shared" si="0"/>
        <v>10.236103151862466</v>
      </c>
      <c r="I14" s="26">
        <f t="shared" si="2"/>
        <v>-0.82731614135625531</v>
      </c>
      <c r="J14">
        <f t="shared" si="3"/>
        <v>-1.0704871060171897</v>
      </c>
      <c r="K14" s="27">
        <f t="shared" si="4"/>
        <v>1.8303946418976613</v>
      </c>
      <c r="S14">
        <v>15</v>
      </c>
      <c r="T14">
        <v>888</v>
      </c>
    </row>
    <row r="15" spans="1:25" x14ac:dyDescent="0.25">
      <c r="A15" s="24">
        <v>1</v>
      </c>
      <c r="B15" s="25">
        <v>50</v>
      </c>
      <c r="C15" s="24">
        <v>4.96</v>
      </c>
      <c r="D15" s="24">
        <v>5.5810000000000004</v>
      </c>
      <c r="E15" s="26">
        <f t="shared" si="1"/>
        <v>9.4746895893027698</v>
      </c>
      <c r="F15" s="26">
        <f t="shared" si="1"/>
        <v>10.660936007640879</v>
      </c>
      <c r="G15" s="26">
        <f t="shared" si="0"/>
        <v>7.4844317096466089</v>
      </c>
      <c r="H15" s="26">
        <f t="shared" si="0"/>
        <v>10.236103151862466</v>
      </c>
      <c r="I15" s="26">
        <f t="shared" si="2"/>
        <v>1.990257879656161</v>
      </c>
      <c r="J15">
        <f t="shared" si="3"/>
        <v>-0.42483285577841379</v>
      </c>
      <c r="K15" s="27">
        <f t="shared" si="4"/>
        <v>4.1416093828822804</v>
      </c>
      <c r="S15">
        <v>14</v>
      </c>
      <c r="T15">
        <v>864</v>
      </c>
    </row>
    <row r="16" spans="1:25" x14ac:dyDescent="0.25">
      <c r="A16" s="24">
        <v>1</v>
      </c>
      <c r="B16" s="25">
        <v>50</v>
      </c>
      <c r="C16" s="24">
        <v>4.7569999999999997</v>
      </c>
      <c r="D16" s="24">
        <v>5.6079999999999997</v>
      </c>
      <c r="E16" s="26">
        <f t="shared" si="1"/>
        <v>9.0869149952244506</v>
      </c>
      <c r="F16" s="26">
        <f t="shared" si="1"/>
        <v>10.71251193887297</v>
      </c>
      <c r="G16" s="26">
        <f t="shared" si="0"/>
        <v>7.4844317096466089</v>
      </c>
      <c r="H16" s="26">
        <f t="shared" si="0"/>
        <v>10.236103151862466</v>
      </c>
      <c r="I16" s="26">
        <f t="shared" si="2"/>
        <v>1.6024832855778417</v>
      </c>
      <c r="J16">
        <f t="shared" si="3"/>
        <v>-0.47640878701050404</v>
      </c>
      <c r="K16" s="27">
        <f t="shared" si="4"/>
        <v>2.794918012897174</v>
      </c>
      <c r="S16">
        <v>13</v>
      </c>
      <c r="T16">
        <v>924</v>
      </c>
    </row>
    <row r="17" spans="1:20" x14ac:dyDescent="0.25">
      <c r="A17" s="24">
        <v>1</v>
      </c>
      <c r="B17" s="25">
        <v>50</v>
      </c>
      <c r="C17" s="24">
        <v>4.5679999999999996</v>
      </c>
      <c r="D17" s="24">
        <v>5.9189999999999996</v>
      </c>
      <c r="E17" s="26">
        <f t="shared" si="1"/>
        <v>8.7258834765998081</v>
      </c>
      <c r="F17" s="26">
        <f t="shared" si="1"/>
        <v>11.306590257879655</v>
      </c>
      <c r="G17" s="26">
        <f t="shared" si="0"/>
        <v>7.4844317096466089</v>
      </c>
      <c r="H17" s="26">
        <f t="shared" si="0"/>
        <v>10.236103151862466</v>
      </c>
      <c r="I17" s="26">
        <f t="shared" si="2"/>
        <v>1.2414517669531993</v>
      </c>
      <c r="J17">
        <f t="shared" si="3"/>
        <v>-1.0704871060171897</v>
      </c>
      <c r="K17" s="27">
        <f t="shared" si="4"/>
        <v>2.6871451338202785</v>
      </c>
      <c r="S17">
        <v>12</v>
      </c>
      <c r="T17">
        <v>875</v>
      </c>
    </row>
    <row r="18" spans="1:20" x14ac:dyDescent="0.25">
      <c r="A18" s="24">
        <v>1</v>
      </c>
      <c r="B18" s="25">
        <v>50</v>
      </c>
      <c r="C18" s="24">
        <v>4.8109999999999999</v>
      </c>
      <c r="D18" s="24">
        <v>6.19</v>
      </c>
      <c r="E18" s="26">
        <f t="shared" si="1"/>
        <v>9.1900668576886346</v>
      </c>
      <c r="F18" s="26">
        <f t="shared" si="1"/>
        <v>11.824259789875837</v>
      </c>
      <c r="G18" s="26">
        <f t="shared" si="0"/>
        <v>7.4844317096466089</v>
      </c>
      <c r="H18" s="26">
        <f t="shared" si="0"/>
        <v>10.236103151862466</v>
      </c>
      <c r="I18" s="26">
        <f t="shared" si="2"/>
        <v>1.7056351480420258</v>
      </c>
      <c r="J18">
        <f t="shared" si="3"/>
        <v>-1.5881566380133716</v>
      </c>
      <c r="K18" s="27">
        <f t="shared" si="4"/>
        <v>5.4314327651022793</v>
      </c>
      <c r="S18">
        <v>11</v>
      </c>
      <c r="T18">
        <v>932</v>
      </c>
    </row>
    <row r="19" spans="1:20" x14ac:dyDescent="0.25">
      <c r="A19" s="24">
        <v>1</v>
      </c>
      <c r="B19" s="25">
        <v>50</v>
      </c>
      <c r="C19" s="24">
        <v>4.0529999999999999</v>
      </c>
      <c r="D19" s="24">
        <v>5.9329999999999998</v>
      </c>
      <c r="E19" s="26">
        <f t="shared" si="1"/>
        <v>7.7421203438395416</v>
      </c>
      <c r="F19" s="26">
        <f t="shared" si="1"/>
        <v>11.333333333333334</v>
      </c>
      <c r="G19" s="26">
        <f t="shared" si="0"/>
        <v>7.4844317096466089</v>
      </c>
      <c r="H19" s="26">
        <f t="shared" si="0"/>
        <v>10.236103151862466</v>
      </c>
      <c r="I19" s="26">
        <f t="shared" si="2"/>
        <v>0.25768863419293275</v>
      </c>
      <c r="J19">
        <f t="shared" si="3"/>
        <v>-1.0972301814708683</v>
      </c>
      <c r="K19" s="27">
        <f t="shared" si="4"/>
        <v>1.2703175033228136</v>
      </c>
      <c r="S19">
        <v>10</v>
      </c>
      <c r="T19">
        <v>876</v>
      </c>
    </row>
    <row r="20" spans="1:20" x14ac:dyDescent="0.25">
      <c r="A20" s="24">
        <v>1</v>
      </c>
      <c r="B20" s="25">
        <v>50</v>
      </c>
      <c r="C20" s="24">
        <v>3.9049999999999998</v>
      </c>
      <c r="D20" s="24">
        <v>6.17</v>
      </c>
      <c r="E20" s="26">
        <f t="shared" si="1"/>
        <v>7.4594078319006689</v>
      </c>
      <c r="F20" s="26">
        <f t="shared" si="1"/>
        <v>11.786055396370584</v>
      </c>
      <c r="G20" s="26">
        <f t="shared" si="0"/>
        <v>7.4844317096466089</v>
      </c>
      <c r="H20" s="26">
        <f t="shared" si="0"/>
        <v>10.236103151862466</v>
      </c>
      <c r="I20" s="26">
        <f t="shared" si="2"/>
        <v>-2.5023877745939949E-2</v>
      </c>
      <c r="J20">
        <f t="shared" si="3"/>
        <v>-1.549952244508118</v>
      </c>
      <c r="K20" s="27">
        <f t="shared" si="4"/>
        <v>2.4029781547131965</v>
      </c>
      <c r="S20">
        <v>9</v>
      </c>
      <c r="T20">
        <v>895</v>
      </c>
    </row>
    <row r="21" spans="1:20" x14ac:dyDescent="0.25">
      <c r="A21" s="24">
        <v>1</v>
      </c>
      <c r="B21" s="25">
        <v>50</v>
      </c>
      <c r="C21" s="24">
        <v>4.1349999999999998</v>
      </c>
      <c r="D21" s="24">
        <v>6.4669999999999996</v>
      </c>
      <c r="E21" s="26">
        <f t="shared" si="1"/>
        <v>7.8987583572110793</v>
      </c>
      <c r="F21" s="26">
        <f t="shared" si="1"/>
        <v>12.353390639923591</v>
      </c>
      <c r="G21" s="26">
        <f t="shared" si="0"/>
        <v>7.4844317096466089</v>
      </c>
      <c r="H21" s="26">
        <f t="shared" si="0"/>
        <v>10.236103151862466</v>
      </c>
      <c r="I21" s="26">
        <f t="shared" si="2"/>
        <v>0.41432664756447046</v>
      </c>
      <c r="J21">
        <f t="shared" si="3"/>
        <v>-2.117287488061125</v>
      </c>
      <c r="K21" s="27">
        <f t="shared" si="4"/>
        <v>4.6545728779822015</v>
      </c>
      <c r="S21">
        <v>8</v>
      </c>
      <c r="T21">
        <v>909</v>
      </c>
    </row>
    <row r="22" spans="1:20" x14ac:dyDescent="0.25">
      <c r="A22" s="24">
        <v>1</v>
      </c>
      <c r="B22" s="25">
        <v>50</v>
      </c>
      <c r="C22" s="48">
        <v>3.4710000000000001</v>
      </c>
      <c r="D22" s="48">
        <v>5.5739999999999998</v>
      </c>
      <c r="E22" s="49">
        <f t="shared" si="1"/>
        <v>6.6303724928366767</v>
      </c>
      <c r="F22" s="49">
        <f t="shared" si="1"/>
        <v>10.647564469914041</v>
      </c>
      <c r="G22" s="49">
        <f t="shared" si="0"/>
        <v>7.4844317096466089</v>
      </c>
      <c r="H22" s="49">
        <f t="shared" si="0"/>
        <v>10.236103151862466</v>
      </c>
      <c r="I22" s="49">
        <f t="shared" si="2"/>
        <v>-0.85405921680993213</v>
      </c>
      <c r="J22">
        <f t="shared" si="3"/>
        <v>-0.41146131805157538</v>
      </c>
      <c r="K22" s="49">
        <f t="shared" si="4"/>
        <v>0.89871756207073439</v>
      </c>
      <c r="S22">
        <v>7</v>
      </c>
      <c r="T22">
        <v>919</v>
      </c>
    </row>
    <row r="23" spans="1:20" x14ac:dyDescent="0.25">
      <c r="A23" s="24"/>
      <c r="B23" s="25"/>
      <c r="C23" s="24"/>
      <c r="D23" s="24"/>
      <c r="F23" s="26"/>
      <c r="G23" s="26"/>
      <c r="H23" s="26"/>
      <c r="I23" s="26"/>
      <c r="K23" s="27"/>
      <c r="S23">
        <v>6</v>
      </c>
      <c r="T23">
        <v>888</v>
      </c>
    </row>
    <row r="24" spans="1:20" x14ac:dyDescent="0.25">
      <c r="A24" s="24"/>
      <c r="B24" s="25"/>
      <c r="C24" s="24"/>
      <c r="D24" s="24"/>
      <c r="F24" s="26"/>
      <c r="G24" s="26"/>
      <c r="H24" s="26"/>
      <c r="I24" s="26"/>
      <c r="K24" s="27"/>
      <c r="S24">
        <v>5</v>
      </c>
      <c r="T24">
        <v>914</v>
      </c>
    </row>
    <row r="25" spans="1:20" x14ac:dyDescent="0.25">
      <c r="A25" s="24"/>
      <c r="B25" s="25"/>
      <c r="C25" s="24"/>
      <c r="D25" s="24"/>
      <c r="F25" s="26"/>
      <c r="G25" s="26"/>
      <c r="H25" s="26"/>
      <c r="I25" s="26"/>
      <c r="K25" s="27"/>
      <c r="S25">
        <v>4</v>
      </c>
      <c r="T25">
        <v>933</v>
      </c>
    </row>
    <row r="26" spans="1:20" x14ac:dyDescent="0.25">
      <c r="A26" s="24"/>
      <c r="B26" s="25"/>
      <c r="C26" s="24"/>
      <c r="D26" s="24"/>
      <c r="F26" s="26"/>
      <c r="G26" s="26"/>
      <c r="H26" s="26"/>
      <c r="I26" s="26"/>
      <c r="K26" s="27"/>
      <c r="S26">
        <v>3</v>
      </c>
      <c r="T26">
        <v>891</v>
      </c>
    </row>
    <row r="27" spans="1:20" x14ac:dyDescent="0.25">
      <c r="A27" s="24"/>
      <c r="B27" s="25"/>
      <c r="C27" s="24"/>
      <c r="D27" s="24"/>
      <c r="F27" s="26"/>
      <c r="G27" s="26"/>
      <c r="H27" s="26"/>
      <c r="I27" s="26"/>
      <c r="K27" s="27"/>
      <c r="S27">
        <v>2</v>
      </c>
      <c r="T27">
        <v>903</v>
      </c>
    </row>
    <row r="28" spans="1:20" x14ac:dyDescent="0.25">
      <c r="A28" s="24"/>
      <c r="B28" s="25"/>
      <c r="C28" s="24"/>
      <c r="D28" s="24"/>
      <c r="F28" s="26"/>
      <c r="G28" s="26"/>
      <c r="H28" s="26"/>
      <c r="I28" s="26"/>
      <c r="K28" s="27"/>
      <c r="S28">
        <v>1</v>
      </c>
      <c r="T28">
        <v>921</v>
      </c>
    </row>
    <row r="29" spans="1:20" x14ac:dyDescent="0.25">
      <c r="A29" s="24"/>
      <c r="B29" s="25"/>
      <c r="C29" s="24"/>
      <c r="D29" s="24"/>
      <c r="F29" s="26"/>
      <c r="G29" s="26"/>
      <c r="H29" s="26"/>
      <c r="I29" s="26"/>
      <c r="K29" s="27"/>
    </row>
    <row r="30" spans="1:20" x14ac:dyDescent="0.25">
      <c r="A30" s="24"/>
      <c r="B30" s="25"/>
      <c r="C30" s="24"/>
      <c r="D30" s="24"/>
      <c r="F30" s="26"/>
      <c r="G30" s="26"/>
      <c r="H30" s="26"/>
      <c r="I30" s="26"/>
      <c r="K30" s="27"/>
    </row>
    <row r="31" spans="1:20" x14ac:dyDescent="0.25">
      <c r="A31" s="24"/>
      <c r="B31" s="25"/>
      <c r="C31" s="24"/>
      <c r="D31" s="24"/>
      <c r="F31" s="26"/>
      <c r="G31" s="26"/>
      <c r="H31" s="26"/>
      <c r="I31" s="26"/>
      <c r="K31" s="27"/>
    </row>
    <row r="32" spans="1:20" x14ac:dyDescent="0.25">
      <c r="A32" s="24"/>
      <c r="B32" s="25"/>
      <c r="C32" s="24"/>
      <c r="D32" s="24"/>
      <c r="F32" s="26"/>
      <c r="G32" s="26"/>
      <c r="H32" s="26"/>
      <c r="I32" s="26"/>
      <c r="K32" s="27"/>
    </row>
  </sheetData>
  <mergeCells count="2">
    <mergeCell ref="C1:D1"/>
    <mergeCell ref="E1:K1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RowHeight="12.5" x14ac:dyDescent="0.25"/>
  <cols>
    <col min="1" max="1" width="6.26953125" bestFit="1" customWidth="1"/>
    <col min="2" max="2" width="8.26953125" style="50" bestFit="1" customWidth="1"/>
    <col min="5" max="5" width="8.7265625" style="26"/>
    <col min="11" max="11" width="8.7265625" style="50"/>
    <col min="12" max="12" width="8.7265625" style="28"/>
    <col min="13" max="13" width="18.36328125" bestFit="1" customWidth="1"/>
    <col min="16" max="16" width="11.08984375" customWidth="1"/>
    <col min="17" max="17" width="10.90625" customWidth="1"/>
    <col min="18" max="18" width="11.54296875" style="46" customWidth="1"/>
    <col min="19" max="20" width="8.7265625" style="46" customWidth="1"/>
    <col min="21" max="22" width="8.7265625" style="21"/>
  </cols>
  <sheetData>
    <row r="1" spans="1:25" ht="13.5" thickBot="1" x14ac:dyDescent="0.35">
      <c r="B1" s="1" t="s">
        <v>0</v>
      </c>
      <c r="C1" s="60" t="s">
        <v>1</v>
      </c>
      <c r="D1" s="61"/>
      <c r="E1" s="62" t="s">
        <v>2</v>
      </c>
      <c r="F1" s="63"/>
      <c r="G1" s="63"/>
      <c r="H1" s="63"/>
      <c r="I1" s="63"/>
      <c r="J1" s="63"/>
      <c r="K1" s="63"/>
      <c r="L1" s="2"/>
      <c r="M1" s="3" t="s">
        <v>3</v>
      </c>
      <c r="N1" s="4">
        <f>ROUND(10*N3,0)</f>
        <v>18</v>
      </c>
      <c r="P1" s="51" t="s">
        <v>4</v>
      </c>
      <c r="Q1" s="5" t="s">
        <v>5</v>
      </c>
      <c r="R1" s="6" t="s">
        <v>6</v>
      </c>
      <c r="S1" t="s">
        <v>7</v>
      </c>
      <c r="T1" t="s">
        <v>8</v>
      </c>
      <c r="U1" s="7" t="s">
        <v>9</v>
      </c>
      <c r="V1" s="7" t="s">
        <v>10</v>
      </c>
      <c r="W1" s="8" t="s">
        <v>11</v>
      </c>
      <c r="X1" s="9" t="s">
        <v>12</v>
      </c>
      <c r="Y1" s="10">
        <v>0.8</v>
      </c>
    </row>
    <row r="2" spans="1:25" ht="13" x14ac:dyDescent="0.3">
      <c r="A2" s="11" t="s">
        <v>4</v>
      </c>
      <c r="B2" s="12" t="s">
        <v>13</v>
      </c>
      <c r="C2" s="11" t="s">
        <v>14</v>
      </c>
      <c r="D2" s="11" t="s">
        <v>15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19</v>
      </c>
      <c r="K2" s="14" t="s">
        <v>20</v>
      </c>
      <c r="L2" s="15"/>
      <c r="M2" s="16" t="s">
        <v>21</v>
      </c>
      <c r="N2" s="17">
        <f>SQRT(GETPIVOTDATA("Sum Radius^2",$P$1)/CHIINV(0.5,2*GETPIVOTDATA("Count of Group",$P$1)-2*COUNT(P:P)))</f>
        <v>1.5793310260690629</v>
      </c>
      <c r="P2">
        <v>1</v>
      </c>
      <c r="Q2" s="18">
        <v>93.125315336765155</v>
      </c>
      <c r="R2" s="19">
        <v>20</v>
      </c>
      <c r="S2" s="20">
        <v>1.5769648003217709</v>
      </c>
      <c r="T2" s="20">
        <v>1.5538707812079009</v>
      </c>
      <c r="U2" s="21">
        <f>2*R2-1</f>
        <v>39</v>
      </c>
      <c r="V2" s="21">
        <f>1/EXP(LN(SQRT(2/(U2-1))) + GAMMALN(U2/2) - GAMMALN((U2-1)/2))</f>
        <v>1.006599872458809</v>
      </c>
      <c r="W2" s="22">
        <f>V2*SQRT(Q2/(2*(R2-1)))</f>
        <v>1.575792216186247</v>
      </c>
      <c r="X2" s="23">
        <f>SQRT(Q2/CHIINV((1-Y$1)/2,2*R2-2))</f>
        <v>1.3714377523685237</v>
      </c>
      <c r="Y2" s="23">
        <f>SQRT(Q2/CHIINV(0.5+Y$1/2,2*R2-2))</f>
        <v>1.8454878643574515</v>
      </c>
    </row>
    <row r="3" spans="1:25" ht="13" x14ac:dyDescent="0.3">
      <c r="A3" s="24">
        <v>1</v>
      </c>
      <c r="B3" s="25">
        <v>25</v>
      </c>
      <c r="C3" s="24">
        <v>3.8730000000000002</v>
      </c>
      <c r="D3" s="24">
        <v>4.7939999999999996</v>
      </c>
      <c r="E3" s="26">
        <f>(C3)/(0.01047*$B3)</f>
        <v>14.796561604584529</v>
      </c>
      <c r="F3" s="26">
        <f>(D3)/(0.01047*$B3)</f>
        <v>18.315186246418339</v>
      </c>
      <c r="G3" s="26">
        <f t="shared" ref="G3:H22" si="0">AVERAGEIF($A:$A,"="&amp;$A3,E:E)</f>
        <v>15.184718242597899</v>
      </c>
      <c r="H3" s="26">
        <f t="shared" si="0"/>
        <v>20.877745940783189</v>
      </c>
      <c r="I3" s="26">
        <f>E3-G3</f>
        <v>-0.38815663801337053</v>
      </c>
      <c r="J3">
        <f>H3-F3</f>
        <v>2.5625596943648503</v>
      </c>
      <c r="K3" s="27">
        <f>POWER(E3-G3,2)+POWER(F3-H3,2)</f>
        <v>6.7173777628171178</v>
      </c>
      <c r="M3" s="29" t="s">
        <v>22</v>
      </c>
      <c r="N3" s="30">
        <f>SQRT(GETPIVOTDATA("Sum Radius^2",$P$1)/CHIINV(0.9,2*GETPIVOTDATA("Count of Group",$P$1)-2*COUNT(P:P)))</f>
        <v>1.8454878643574515</v>
      </c>
      <c r="P3" s="31" t="s">
        <v>23</v>
      </c>
      <c r="Q3" s="32">
        <v>93.125315336765155</v>
      </c>
      <c r="R3" s="33">
        <v>20</v>
      </c>
      <c r="S3" s="20">
        <v>1.5769648003217709</v>
      </c>
      <c r="T3" s="20">
        <v>1.5538707812079009</v>
      </c>
      <c r="U3" s="21">
        <f>2*R3-1</f>
        <v>39</v>
      </c>
      <c r="V3" s="21">
        <f>1/EXP(LN(SQRT(2/(U3-1))) + GAMMALN(U3/2) - GAMMALN((U3-1)/2))</f>
        <v>1.006599872458809</v>
      </c>
      <c r="W3" s="22">
        <f>V3*SQRT(Q3/(2*(R3-1)))</f>
        <v>1.575792216186247</v>
      </c>
      <c r="X3" s="23">
        <f>SQRT(Q3/CHIINV((1-Y$1)/2,2*R3-2))</f>
        <v>1.3714377523685237</v>
      </c>
      <c r="Y3" s="23">
        <f>SQRT(Q3/CHIINV(0.5+Y$1/2,2*R3-2))</f>
        <v>1.8454878643574515</v>
      </c>
    </row>
    <row r="4" spans="1:25" ht="13" x14ac:dyDescent="0.3">
      <c r="A4" s="24">
        <v>1</v>
      </c>
      <c r="B4" s="25">
        <v>25</v>
      </c>
      <c r="C4" s="24">
        <v>4.157</v>
      </c>
      <c r="D4" s="24">
        <v>4.9420000000000002</v>
      </c>
      <c r="E4" s="26">
        <f t="shared" ref="E4:F22" si="1">(C4)/(0.01047*$B4)</f>
        <v>15.881566380133716</v>
      </c>
      <c r="F4" s="26">
        <f t="shared" si="1"/>
        <v>18.880611270296086</v>
      </c>
      <c r="G4" s="26">
        <f t="shared" si="0"/>
        <v>15.184718242597899</v>
      </c>
      <c r="H4" s="26">
        <f t="shared" si="0"/>
        <v>20.877745940783189</v>
      </c>
      <c r="I4" s="26">
        <f t="shared" ref="I4:I22" si="2">E4-G4</f>
        <v>0.69684813753581665</v>
      </c>
      <c r="J4">
        <f t="shared" ref="J4:J22" si="3">H4-F4</f>
        <v>1.9971346704871031</v>
      </c>
      <c r="K4" s="27">
        <f t="shared" ref="K4:K22" si="4">POWER(E4-G4,2)+POWER(F4-H4,2)</f>
        <v>4.4741442188487666</v>
      </c>
      <c r="R4"/>
      <c r="S4"/>
      <c r="T4"/>
      <c r="W4" s="22"/>
      <c r="X4" s="23"/>
      <c r="Y4" s="23"/>
    </row>
    <row r="5" spans="1:25" ht="13" x14ac:dyDescent="0.3">
      <c r="A5" s="24">
        <v>1</v>
      </c>
      <c r="B5" s="25">
        <v>25</v>
      </c>
      <c r="C5" s="24">
        <v>4.49</v>
      </c>
      <c r="D5" s="24">
        <v>5.2610000000000001</v>
      </c>
      <c r="E5" s="26">
        <f t="shared" si="1"/>
        <v>17.153772683858644</v>
      </c>
      <c r="F5" s="26">
        <f t="shared" si="1"/>
        <v>20.099331423113661</v>
      </c>
      <c r="G5" s="26">
        <f t="shared" si="0"/>
        <v>15.184718242597899</v>
      </c>
      <c r="H5" s="26">
        <f t="shared" si="0"/>
        <v>20.877745940783189</v>
      </c>
      <c r="I5" s="26">
        <f t="shared" si="2"/>
        <v>1.9690544412607451</v>
      </c>
      <c r="J5">
        <f t="shared" si="3"/>
        <v>0.77841451766952829</v>
      </c>
      <c r="K5" s="27">
        <f t="shared" si="4"/>
        <v>4.4831045539673493</v>
      </c>
      <c r="M5" s="34" t="s">
        <v>24</v>
      </c>
      <c r="N5" s="35" t="s">
        <v>2</v>
      </c>
      <c r="R5"/>
      <c r="S5"/>
      <c r="T5"/>
      <c r="U5" s="36"/>
      <c r="V5" s="36"/>
      <c r="W5" s="37"/>
      <c r="X5" s="38"/>
      <c r="Y5" s="39"/>
    </row>
    <row r="6" spans="1:25" ht="13" x14ac:dyDescent="0.3">
      <c r="A6" s="24">
        <v>1</v>
      </c>
      <c r="B6" s="25">
        <v>25</v>
      </c>
      <c r="C6" s="24">
        <v>4.6390000000000002</v>
      </c>
      <c r="D6" s="24">
        <v>5.41</v>
      </c>
      <c r="E6" s="26">
        <f t="shared" si="1"/>
        <v>17.723018147086918</v>
      </c>
      <c r="F6" s="26">
        <f t="shared" si="1"/>
        <v>20.668576886341931</v>
      </c>
      <c r="G6" s="26">
        <f t="shared" si="0"/>
        <v>15.184718242597899</v>
      </c>
      <c r="H6" s="26">
        <f t="shared" si="0"/>
        <v>20.877745940783189</v>
      </c>
      <c r="I6" s="26">
        <f t="shared" si="2"/>
        <v>2.5382999044890191</v>
      </c>
      <c r="J6">
        <f t="shared" si="3"/>
        <v>0.20916905444125788</v>
      </c>
      <c r="K6" s="27">
        <f t="shared" si="4"/>
        <v>6.486718098464813</v>
      </c>
      <c r="M6" s="40">
        <f>1-EXP(-POWER(N6/$N$3,2)/2)</f>
        <v>0.13653963974349081</v>
      </c>
      <c r="N6" s="41">
        <v>1</v>
      </c>
      <c r="R6" s="42"/>
      <c r="S6" s="55" t="s">
        <v>31</v>
      </c>
      <c r="T6" s="56">
        <f>AVERAGE(T9:T28)</f>
        <v>951.5</v>
      </c>
      <c r="Y6" s="43"/>
    </row>
    <row r="7" spans="1:25" ht="13" x14ac:dyDescent="0.3">
      <c r="A7" s="24">
        <v>1</v>
      </c>
      <c r="B7" s="25">
        <v>25</v>
      </c>
      <c r="C7" s="24">
        <v>4.673</v>
      </c>
      <c r="D7" s="24">
        <v>5.5590000000000002</v>
      </c>
      <c r="E7" s="26">
        <f t="shared" si="1"/>
        <v>17.852913085004776</v>
      </c>
      <c r="F7" s="26">
        <f t="shared" si="1"/>
        <v>21.237822349570202</v>
      </c>
      <c r="G7" s="26">
        <f t="shared" si="0"/>
        <v>15.184718242597899</v>
      </c>
      <c r="H7" s="26">
        <f t="shared" si="0"/>
        <v>20.877745940783189</v>
      </c>
      <c r="I7" s="26">
        <f t="shared" si="2"/>
        <v>2.6681948424068764</v>
      </c>
      <c r="J7">
        <f t="shared" si="3"/>
        <v>-0.36007640878701253</v>
      </c>
      <c r="K7" s="27">
        <f t="shared" si="4"/>
        <v>7.248918737211608</v>
      </c>
      <c r="M7" s="40">
        <f t="shared" ref="M7:M8" si="5">1-EXP(-POWER(N7/$N$3,2)/2)</f>
        <v>0.34575479285645683</v>
      </c>
      <c r="N7" s="41">
        <v>1.7</v>
      </c>
      <c r="R7" s="42"/>
      <c r="S7" s="55" t="s">
        <v>32</v>
      </c>
      <c r="T7" s="57">
        <f>STDEV(T9:T28)</f>
        <v>11.91858345521595</v>
      </c>
      <c r="U7" s="44"/>
      <c r="V7" s="44"/>
      <c r="W7" s="44"/>
      <c r="X7" s="44"/>
      <c r="Y7" s="45"/>
    </row>
    <row r="8" spans="1:25" ht="13" x14ac:dyDescent="0.3">
      <c r="A8" s="24">
        <v>1</v>
      </c>
      <c r="B8" s="25">
        <v>25</v>
      </c>
      <c r="C8" s="24">
        <v>3.9540000000000002</v>
      </c>
      <c r="D8" s="24">
        <v>5.1180000000000003</v>
      </c>
      <c r="E8" s="26">
        <f t="shared" si="1"/>
        <v>15.106017191977079</v>
      </c>
      <c r="F8" s="26">
        <f t="shared" si="1"/>
        <v>19.55300859598854</v>
      </c>
      <c r="G8" s="26">
        <f t="shared" si="0"/>
        <v>15.184718242597899</v>
      </c>
      <c r="H8" s="26">
        <f t="shared" si="0"/>
        <v>20.877745940783189</v>
      </c>
      <c r="I8" s="26">
        <f t="shared" si="2"/>
        <v>-7.8701050620820112E-2</v>
      </c>
      <c r="J8">
        <f t="shared" si="3"/>
        <v>1.3247373447946487</v>
      </c>
      <c r="K8" s="27">
        <f t="shared" si="4"/>
        <v>1.7611228880623968</v>
      </c>
      <c r="M8" s="40">
        <f t="shared" si="5"/>
        <v>0.7332025693221218</v>
      </c>
      <c r="N8" s="41">
        <v>3</v>
      </c>
      <c r="S8" s="53" t="s">
        <v>29</v>
      </c>
      <c r="T8" s="54" t="s">
        <v>30</v>
      </c>
    </row>
    <row r="9" spans="1:25" x14ac:dyDescent="0.25">
      <c r="A9" s="24">
        <v>1</v>
      </c>
      <c r="B9" s="25">
        <v>25</v>
      </c>
      <c r="C9" s="24">
        <v>3.7639999999999998</v>
      </c>
      <c r="D9" s="24">
        <v>5.18</v>
      </c>
      <c r="E9" s="26">
        <f t="shared" si="1"/>
        <v>14.380133715377269</v>
      </c>
      <c r="F9" s="26">
        <f t="shared" si="1"/>
        <v>19.789875835721109</v>
      </c>
      <c r="G9" s="26">
        <f t="shared" si="0"/>
        <v>15.184718242597899</v>
      </c>
      <c r="H9" s="26">
        <f t="shared" si="0"/>
        <v>20.877745940783189</v>
      </c>
      <c r="I9" s="26">
        <f t="shared" si="2"/>
        <v>-0.80458452722063001</v>
      </c>
      <c r="J9">
        <f t="shared" si="3"/>
        <v>1.0878701050620805</v>
      </c>
      <c r="K9" s="27">
        <f t="shared" si="4"/>
        <v>1.8308176269306269</v>
      </c>
      <c r="M9" s="29" t="s">
        <v>25</v>
      </c>
      <c r="N9" s="47">
        <f>N3*SQRT(LN(4))</f>
        <v>2.1728959079251422</v>
      </c>
      <c r="S9">
        <v>20</v>
      </c>
      <c r="T9">
        <v>935</v>
      </c>
    </row>
    <row r="10" spans="1:25" x14ac:dyDescent="0.25">
      <c r="A10" s="24">
        <v>1</v>
      </c>
      <c r="B10" s="25">
        <v>25</v>
      </c>
      <c r="C10" s="24">
        <v>3.6419999999999999</v>
      </c>
      <c r="D10" s="24">
        <v>5.1180000000000003</v>
      </c>
      <c r="E10" s="26">
        <f t="shared" si="1"/>
        <v>13.914040114613181</v>
      </c>
      <c r="F10" s="26">
        <f t="shared" si="1"/>
        <v>19.55300859598854</v>
      </c>
      <c r="G10" s="26">
        <f t="shared" si="0"/>
        <v>15.184718242597899</v>
      </c>
      <c r="H10" s="26">
        <f t="shared" si="0"/>
        <v>20.877745940783189</v>
      </c>
      <c r="I10" s="26">
        <f t="shared" si="2"/>
        <v>-1.2706781279847181</v>
      </c>
      <c r="J10">
        <f t="shared" si="3"/>
        <v>1.3247373447946487</v>
      </c>
      <c r="K10" s="27">
        <f t="shared" si="4"/>
        <v>3.3695519376323233</v>
      </c>
      <c r="S10">
        <v>19</v>
      </c>
      <c r="T10">
        <v>948</v>
      </c>
    </row>
    <row r="11" spans="1:25" x14ac:dyDescent="0.25">
      <c r="A11" s="24">
        <v>1</v>
      </c>
      <c r="B11" s="25">
        <v>25</v>
      </c>
      <c r="C11" s="24">
        <v>3.5609999999999999</v>
      </c>
      <c r="D11" s="24">
        <v>5.03</v>
      </c>
      <c r="E11" s="26">
        <f t="shared" si="1"/>
        <v>13.604584527220631</v>
      </c>
      <c r="F11" s="26">
        <f t="shared" si="1"/>
        <v>19.216809933142315</v>
      </c>
      <c r="G11" s="26">
        <f t="shared" si="0"/>
        <v>15.184718242597899</v>
      </c>
      <c r="H11" s="26">
        <f t="shared" si="0"/>
        <v>20.877745940783189</v>
      </c>
      <c r="I11" s="26">
        <f t="shared" si="2"/>
        <v>-1.5801337153772685</v>
      </c>
      <c r="J11">
        <f t="shared" si="3"/>
        <v>1.6609360076408741</v>
      </c>
      <c r="K11" s="27">
        <f t="shared" si="4"/>
        <v>5.2555309799499765</v>
      </c>
      <c r="S11">
        <v>18</v>
      </c>
      <c r="T11">
        <v>942</v>
      </c>
    </row>
    <row r="12" spans="1:25" x14ac:dyDescent="0.25">
      <c r="A12" s="24">
        <v>1</v>
      </c>
      <c r="B12" s="25">
        <v>25</v>
      </c>
      <c r="C12" s="48">
        <v>3.4249999999999998</v>
      </c>
      <c r="D12" s="48">
        <v>5.194</v>
      </c>
      <c r="E12" s="49">
        <f t="shared" si="1"/>
        <v>13.085004775549189</v>
      </c>
      <c r="F12" s="49">
        <f t="shared" si="1"/>
        <v>19.843361986628462</v>
      </c>
      <c r="G12" s="49">
        <f t="shared" si="0"/>
        <v>15.184718242597899</v>
      </c>
      <c r="H12" s="49">
        <f t="shared" si="0"/>
        <v>20.877745940783189</v>
      </c>
      <c r="I12" s="49">
        <f t="shared" si="2"/>
        <v>-2.0997134670487103</v>
      </c>
      <c r="J12">
        <f t="shared" si="3"/>
        <v>1.0343839541547268</v>
      </c>
      <c r="K12" s="49">
        <f t="shared" si="4"/>
        <v>5.4787468083184834</v>
      </c>
      <c r="S12">
        <v>17</v>
      </c>
      <c r="T12">
        <v>943</v>
      </c>
    </row>
    <row r="13" spans="1:25" x14ac:dyDescent="0.25">
      <c r="A13" s="24">
        <v>1</v>
      </c>
      <c r="B13" s="25">
        <v>25</v>
      </c>
      <c r="C13" s="24">
        <v>3.35</v>
      </c>
      <c r="D13" s="24">
        <v>5.4240000000000004</v>
      </c>
      <c r="E13" s="26">
        <f t="shared" si="1"/>
        <v>12.79847182425979</v>
      </c>
      <c r="F13" s="26">
        <f t="shared" si="1"/>
        <v>20.722063037249285</v>
      </c>
      <c r="G13" s="26">
        <f t="shared" si="0"/>
        <v>15.184718242597899</v>
      </c>
      <c r="H13" s="26">
        <f t="shared" si="0"/>
        <v>20.877745940783189</v>
      </c>
      <c r="I13" s="26">
        <f t="shared" si="2"/>
        <v>-2.3862464183381089</v>
      </c>
      <c r="J13">
        <f t="shared" si="3"/>
        <v>0.15568290353390424</v>
      </c>
      <c r="K13" s="27">
        <f t="shared" si="4"/>
        <v>5.7184091354842002</v>
      </c>
      <c r="S13">
        <v>16</v>
      </c>
      <c r="T13">
        <v>970</v>
      </c>
    </row>
    <row r="14" spans="1:25" x14ac:dyDescent="0.25">
      <c r="A14" s="24">
        <v>1</v>
      </c>
      <c r="B14" s="25">
        <v>25</v>
      </c>
      <c r="C14" s="24">
        <v>3.75</v>
      </c>
      <c r="D14" s="24">
        <v>5.6280000000000001</v>
      </c>
      <c r="E14" s="26">
        <f t="shared" si="1"/>
        <v>14.326647564469916</v>
      </c>
      <c r="F14" s="26">
        <f t="shared" si="1"/>
        <v>21.50143266475645</v>
      </c>
      <c r="G14" s="26">
        <f t="shared" si="0"/>
        <v>15.184718242597899</v>
      </c>
      <c r="H14" s="26">
        <f t="shared" si="0"/>
        <v>20.877745940783189</v>
      </c>
      <c r="I14" s="26">
        <f t="shared" si="2"/>
        <v>-0.85807067812798365</v>
      </c>
      <c r="J14">
        <f t="shared" si="3"/>
        <v>-0.62368672397326108</v>
      </c>
      <c r="K14" s="27">
        <f t="shared" si="4"/>
        <v>1.1252704183235165</v>
      </c>
      <c r="S14">
        <v>15</v>
      </c>
      <c r="T14">
        <v>943</v>
      </c>
    </row>
    <row r="15" spans="1:25" x14ac:dyDescent="0.25">
      <c r="A15" s="24">
        <v>1</v>
      </c>
      <c r="B15" s="25">
        <v>25</v>
      </c>
      <c r="C15" s="24">
        <v>3.4249999999999998</v>
      </c>
      <c r="D15" s="24">
        <v>5.9459999999999997</v>
      </c>
      <c r="E15" s="26">
        <f t="shared" si="1"/>
        <v>13.085004775549189</v>
      </c>
      <c r="F15" s="26">
        <f t="shared" si="1"/>
        <v>22.716332378223495</v>
      </c>
      <c r="G15" s="26">
        <f t="shared" si="0"/>
        <v>15.184718242597899</v>
      </c>
      <c r="H15" s="26">
        <f t="shared" si="0"/>
        <v>20.877745940783189</v>
      </c>
      <c r="I15" s="26">
        <f t="shared" si="2"/>
        <v>-2.0997134670487103</v>
      </c>
      <c r="J15">
        <f t="shared" si="3"/>
        <v>-1.8385864374403056</v>
      </c>
      <c r="K15" s="27">
        <f t="shared" si="4"/>
        <v>7.7891967316451503</v>
      </c>
      <c r="S15">
        <v>14</v>
      </c>
      <c r="T15">
        <v>950</v>
      </c>
    </row>
    <row r="16" spans="1:25" x14ac:dyDescent="0.25">
      <c r="A16" s="24">
        <v>1</v>
      </c>
      <c r="B16" s="25">
        <v>25</v>
      </c>
      <c r="C16" s="24">
        <v>3.5059999999999998</v>
      </c>
      <c r="D16" s="24">
        <v>6.4539999999999997</v>
      </c>
      <c r="E16" s="26">
        <f t="shared" si="1"/>
        <v>13.394460362941738</v>
      </c>
      <c r="F16" s="26">
        <f t="shared" si="1"/>
        <v>24.657115568290354</v>
      </c>
      <c r="G16" s="26">
        <f t="shared" si="0"/>
        <v>15.184718242597899</v>
      </c>
      <c r="H16" s="26">
        <f t="shared" si="0"/>
        <v>20.877745940783189</v>
      </c>
      <c r="I16" s="26">
        <f t="shared" si="2"/>
        <v>-1.7902578796561617</v>
      </c>
      <c r="J16">
        <f t="shared" si="3"/>
        <v>-3.7793696275071653</v>
      </c>
      <c r="K16" s="27">
        <f t="shared" si="4"/>
        <v>17.488658056994627</v>
      </c>
      <c r="S16">
        <v>13</v>
      </c>
      <c r="T16">
        <v>951</v>
      </c>
    </row>
    <row r="17" spans="1:20" x14ac:dyDescent="0.25">
      <c r="A17" s="24">
        <v>1</v>
      </c>
      <c r="B17" s="25">
        <v>25</v>
      </c>
      <c r="C17" s="24">
        <v>4.4089999999999998</v>
      </c>
      <c r="D17" s="24">
        <v>5.8849999999999998</v>
      </c>
      <c r="E17" s="26">
        <f t="shared" si="1"/>
        <v>16.844317096466092</v>
      </c>
      <c r="F17" s="26">
        <f t="shared" si="1"/>
        <v>22.483285577841453</v>
      </c>
      <c r="G17" s="26">
        <f t="shared" si="0"/>
        <v>15.184718242597899</v>
      </c>
      <c r="H17" s="26">
        <f t="shared" si="0"/>
        <v>20.877745940783189</v>
      </c>
      <c r="I17" s="26">
        <f t="shared" si="2"/>
        <v>1.6595988538681929</v>
      </c>
      <c r="J17">
        <f t="shared" si="3"/>
        <v>-1.6055396370582642</v>
      </c>
      <c r="K17" s="27">
        <f t="shared" si="4"/>
        <v>5.3320258819258024</v>
      </c>
      <c r="S17">
        <v>12</v>
      </c>
      <c r="T17">
        <v>952</v>
      </c>
    </row>
    <row r="18" spans="1:20" x14ac:dyDescent="0.25">
      <c r="A18" s="24">
        <v>1</v>
      </c>
      <c r="B18" s="25">
        <v>25</v>
      </c>
      <c r="C18" s="24">
        <v>4.1840000000000002</v>
      </c>
      <c r="D18" s="24">
        <v>5.9660000000000002</v>
      </c>
      <c r="E18" s="26">
        <f t="shared" si="1"/>
        <v>15.9847182425979</v>
      </c>
      <c r="F18" s="26">
        <f t="shared" si="1"/>
        <v>22.792741165234006</v>
      </c>
      <c r="G18" s="26">
        <f t="shared" si="0"/>
        <v>15.184718242597899</v>
      </c>
      <c r="H18" s="26">
        <f t="shared" si="0"/>
        <v>20.877745940783189</v>
      </c>
      <c r="I18" s="26">
        <f t="shared" si="2"/>
        <v>0.80000000000000071</v>
      </c>
      <c r="J18">
        <f t="shared" si="3"/>
        <v>-1.9149952244508164</v>
      </c>
      <c r="K18" s="27">
        <f t="shared" si="4"/>
        <v>4.3072067096694342</v>
      </c>
      <c r="S18">
        <v>11</v>
      </c>
      <c r="T18">
        <v>960</v>
      </c>
    </row>
    <row r="19" spans="1:20" x14ac:dyDescent="0.25">
      <c r="A19" s="24">
        <v>1</v>
      </c>
      <c r="B19" s="25">
        <v>25</v>
      </c>
      <c r="C19" s="24">
        <v>4.0890000000000004</v>
      </c>
      <c r="D19" s="24">
        <v>5.4909999999999997</v>
      </c>
      <c r="E19" s="26">
        <f t="shared" si="1"/>
        <v>15.621776504297998</v>
      </c>
      <c r="F19" s="26">
        <f t="shared" si="1"/>
        <v>20.97803247373448</v>
      </c>
      <c r="G19" s="26">
        <f t="shared" si="0"/>
        <v>15.184718242597899</v>
      </c>
      <c r="H19" s="26">
        <f t="shared" si="0"/>
        <v>20.877745940783189</v>
      </c>
      <c r="I19" s="26">
        <f t="shared" si="2"/>
        <v>0.43705826170009843</v>
      </c>
      <c r="J19">
        <f t="shared" si="3"/>
        <v>-0.10028653295129075</v>
      </c>
      <c r="K19" s="27">
        <f t="shared" si="4"/>
        <v>0.20107731281170205</v>
      </c>
      <c r="S19">
        <v>10</v>
      </c>
      <c r="T19">
        <v>974</v>
      </c>
    </row>
    <row r="20" spans="1:20" x14ac:dyDescent="0.25">
      <c r="A20" s="24">
        <v>1</v>
      </c>
      <c r="B20" s="25">
        <v>25</v>
      </c>
      <c r="C20" s="24">
        <v>4.157</v>
      </c>
      <c r="D20" s="24">
        <v>5.4909999999999997</v>
      </c>
      <c r="E20" s="26">
        <f t="shared" si="1"/>
        <v>15.881566380133716</v>
      </c>
      <c r="F20" s="26">
        <f t="shared" si="1"/>
        <v>20.97803247373448</v>
      </c>
      <c r="G20" s="26">
        <f t="shared" si="0"/>
        <v>15.184718242597899</v>
      </c>
      <c r="H20" s="26">
        <f t="shared" si="0"/>
        <v>20.877745940783189</v>
      </c>
      <c r="I20" s="26">
        <f t="shared" si="2"/>
        <v>0.69684813753581665</v>
      </c>
      <c r="J20">
        <f t="shared" si="3"/>
        <v>-0.10028653295129075</v>
      </c>
      <c r="K20" s="27">
        <f t="shared" si="4"/>
        <v>0.49565471547852674</v>
      </c>
      <c r="S20">
        <v>9</v>
      </c>
      <c r="T20">
        <v>947</v>
      </c>
    </row>
    <row r="21" spans="1:20" x14ac:dyDescent="0.25">
      <c r="A21" s="24">
        <v>1</v>
      </c>
      <c r="B21" s="25">
        <v>25</v>
      </c>
      <c r="C21" s="24">
        <v>4.28</v>
      </c>
      <c r="D21" s="24">
        <v>5.6680000000000001</v>
      </c>
      <c r="E21" s="26">
        <f t="shared" si="1"/>
        <v>16.351480420248329</v>
      </c>
      <c r="F21" s="26">
        <f t="shared" si="1"/>
        <v>21.654250238777461</v>
      </c>
      <c r="G21" s="26">
        <f t="shared" si="0"/>
        <v>15.184718242597899</v>
      </c>
      <c r="H21" s="26">
        <f t="shared" si="0"/>
        <v>20.877745940783189</v>
      </c>
      <c r="I21" s="26">
        <f t="shared" si="2"/>
        <v>1.1667621776504298</v>
      </c>
      <c r="J21">
        <f t="shared" si="3"/>
        <v>-0.77650429799427201</v>
      </c>
      <c r="K21" s="27">
        <f t="shared" si="4"/>
        <v>1.9642929039991501</v>
      </c>
      <c r="S21">
        <v>8</v>
      </c>
      <c r="T21">
        <v>953</v>
      </c>
    </row>
    <row r="22" spans="1:20" x14ac:dyDescent="0.25">
      <c r="A22" s="24">
        <v>1</v>
      </c>
      <c r="B22" s="25">
        <v>25</v>
      </c>
      <c r="C22" s="48">
        <v>4.1639999999999997</v>
      </c>
      <c r="D22" s="48">
        <v>5.7359999999999998</v>
      </c>
      <c r="E22" s="49">
        <f t="shared" si="1"/>
        <v>15.908309455587393</v>
      </c>
      <c r="F22" s="49">
        <f t="shared" si="1"/>
        <v>21.914040114613179</v>
      </c>
      <c r="G22" s="49">
        <f t="shared" si="0"/>
        <v>15.184718242597899</v>
      </c>
      <c r="H22" s="49">
        <f t="shared" si="0"/>
        <v>20.877745940783189</v>
      </c>
      <c r="I22" s="49">
        <f t="shared" si="2"/>
        <v>0.72359121298949347</v>
      </c>
      <c r="J22">
        <f t="shared" si="3"/>
        <v>-1.0362941738299902</v>
      </c>
      <c r="K22" s="49">
        <f t="shared" si="4"/>
        <v>1.5974898582295887</v>
      </c>
      <c r="S22">
        <v>7</v>
      </c>
      <c r="T22">
        <v>934</v>
      </c>
    </row>
    <row r="23" spans="1:20" x14ac:dyDescent="0.25">
      <c r="A23" s="24"/>
      <c r="B23" s="25"/>
      <c r="C23" s="24"/>
      <c r="D23" s="24"/>
      <c r="F23" s="26"/>
      <c r="G23" s="26"/>
      <c r="H23" s="26"/>
      <c r="I23" s="26"/>
      <c r="K23" s="27"/>
      <c r="S23">
        <v>6</v>
      </c>
      <c r="T23">
        <v>944</v>
      </c>
    </row>
    <row r="24" spans="1:20" x14ac:dyDescent="0.25">
      <c r="A24" s="24"/>
      <c r="B24" s="25"/>
      <c r="C24" s="24"/>
      <c r="D24" s="24"/>
      <c r="F24" s="26"/>
      <c r="G24" s="26"/>
      <c r="H24" s="26"/>
      <c r="I24" s="26"/>
      <c r="K24" s="27"/>
      <c r="S24">
        <v>5</v>
      </c>
      <c r="T24">
        <v>954</v>
      </c>
    </row>
    <row r="25" spans="1:20" x14ac:dyDescent="0.25">
      <c r="A25" s="24"/>
      <c r="B25" s="25"/>
      <c r="C25" s="24"/>
      <c r="D25" s="24"/>
      <c r="F25" s="26"/>
      <c r="G25" s="26"/>
      <c r="H25" s="26"/>
      <c r="I25" s="26"/>
      <c r="K25" s="27"/>
      <c r="S25">
        <v>4</v>
      </c>
      <c r="T25">
        <v>961</v>
      </c>
    </row>
    <row r="26" spans="1:20" x14ac:dyDescent="0.25">
      <c r="A26" s="24"/>
      <c r="B26" s="25"/>
      <c r="C26" s="24"/>
      <c r="D26" s="24"/>
      <c r="F26" s="26"/>
      <c r="G26" s="26"/>
      <c r="H26" s="26"/>
      <c r="I26" s="26"/>
      <c r="K26" s="27"/>
      <c r="S26">
        <v>3</v>
      </c>
      <c r="T26">
        <v>936</v>
      </c>
    </row>
    <row r="27" spans="1:20" x14ac:dyDescent="0.25">
      <c r="A27" s="24"/>
      <c r="B27" s="25"/>
      <c r="C27" s="24"/>
      <c r="D27" s="24"/>
      <c r="F27" s="26"/>
      <c r="G27" s="26"/>
      <c r="H27" s="26"/>
      <c r="I27" s="26"/>
      <c r="K27" s="27"/>
      <c r="S27">
        <v>2</v>
      </c>
      <c r="T27">
        <v>960</v>
      </c>
    </row>
    <row r="28" spans="1:20" x14ac:dyDescent="0.25">
      <c r="A28" s="24"/>
      <c r="B28" s="25"/>
      <c r="C28" s="24"/>
      <c r="D28" s="24"/>
      <c r="F28" s="26"/>
      <c r="G28" s="26"/>
      <c r="H28" s="26"/>
      <c r="I28" s="26"/>
      <c r="K28" s="27"/>
      <c r="S28">
        <v>1</v>
      </c>
      <c r="T28">
        <v>973</v>
      </c>
    </row>
    <row r="29" spans="1:20" x14ac:dyDescent="0.25">
      <c r="A29" s="24"/>
      <c r="B29" s="25"/>
      <c r="C29" s="24"/>
      <c r="D29" s="24"/>
      <c r="F29" s="26"/>
      <c r="G29" s="26"/>
      <c r="H29" s="26"/>
      <c r="I29" s="26"/>
      <c r="K29" s="27"/>
    </row>
    <row r="30" spans="1:20" x14ac:dyDescent="0.25">
      <c r="A30" s="24"/>
      <c r="B30" s="25"/>
      <c r="C30" s="24"/>
      <c r="D30" s="24"/>
      <c r="F30" s="26"/>
      <c r="G30" s="26"/>
      <c r="H30" s="26"/>
      <c r="I30" s="26"/>
      <c r="K30" s="27"/>
    </row>
    <row r="31" spans="1:20" x14ac:dyDescent="0.25">
      <c r="A31" s="24"/>
      <c r="B31" s="25"/>
      <c r="C31" s="24"/>
      <c r="D31" s="24"/>
      <c r="F31" s="26"/>
      <c r="G31" s="26"/>
      <c r="H31" s="26"/>
      <c r="I31" s="26"/>
      <c r="K31" s="27"/>
    </row>
    <row r="32" spans="1:20" x14ac:dyDescent="0.25">
      <c r="A32" s="24"/>
      <c r="B32" s="25"/>
      <c r="C32" s="24"/>
      <c r="D32" s="24"/>
      <c r="F32" s="26"/>
      <c r="G32" s="26"/>
      <c r="H32" s="26"/>
      <c r="I32" s="26"/>
      <c r="K32" s="27"/>
    </row>
  </sheetData>
  <mergeCells count="2">
    <mergeCell ref="C1:D1"/>
    <mergeCell ref="E1:K1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RowHeight="12.5" x14ac:dyDescent="0.25"/>
  <cols>
    <col min="1" max="1" width="6.26953125" bestFit="1" customWidth="1"/>
    <col min="2" max="2" width="8.26953125" style="50" bestFit="1" customWidth="1"/>
    <col min="5" max="5" width="8.7265625" style="26"/>
    <col min="11" max="11" width="8.7265625" style="50"/>
    <col min="12" max="12" width="8.7265625" style="28"/>
    <col min="13" max="13" width="18.36328125" bestFit="1" customWidth="1"/>
    <col min="16" max="16" width="11.08984375" customWidth="1"/>
    <col min="17" max="17" width="10.90625" customWidth="1"/>
    <col min="18" max="18" width="11.54296875" style="46" customWidth="1"/>
    <col min="19" max="20" width="8.7265625" style="46" customWidth="1"/>
    <col min="21" max="22" width="8.7265625" style="21"/>
  </cols>
  <sheetData>
    <row r="1" spans="1:25" ht="13.5" thickBot="1" x14ac:dyDescent="0.35">
      <c r="B1" s="1" t="s">
        <v>0</v>
      </c>
      <c r="C1" s="60" t="s">
        <v>1</v>
      </c>
      <c r="D1" s="61"/>
      <c r="E1" s="62" t="s">
        <v>2</v>
      </c>
      <c r="F1" s="63"/>
      <c r="G1" s="63"/>
      <c r="H1" s="63"/>
      <c r="I1" s="63"/>
      <c r="J1" s="63"/>
      <c r="K1" s="63"/>
      <c r="L1" s="2"/>
      <c r="M1" s="3" t="s">
        <v>3</v>
      </c>
      <c r="N1" s="4">
        <f>ROUND(10*N3,0)</f>
        <v>17</v>
      </c>
      <c r="P1" s="51" t="s">
        <v>4</v>
      </c>
      <c r="Q1" s="5" t="s">
        <v>5</v>
      </c>
      <c r="R1" s="6" t="s">
        <v>6</v>
      </c>
      <c r="S1" t="s">
        <v>7</v>
      </c>
      <c r="T1" t="s">
        <v>8</v>
      </c>
      <c r="U1" s="7" t="s">
        <v>9</v>
      </c>
      <c r="V1" s="7" t="s">
        <v>10</v>
      </c>
      <c r="W1" s="8" t="s">
        <v>11</v>
      </c>
      <c r="X1" s="9" t="s">
        <v>12</v>
      </c>
      <c r="Y1" s="10">
        <v>0.8</v>
      </c>
    </row>
    <row r="2" spans="1:25" ht="13" x14ac:dyDescent="0.3">
      <c r="A2" s="11" t="s">
        <v>4</v>
      </c>
      <c r="B2" s="12" t="s">
        <v>13</v>
      </c>
      <c r="C2" s="11" t="s">
        <v>14</v>
      </c>
      <c r="D2" s="11" t="s">
        <v>15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19</v>
      </c>
      <c r="K2" s="14" t="s">
        <v>20</v>
      </c>
      <c r="L2" s="15"/>
      <c r="M2" s="16" t="s">
        <v>21</v>
      </c>
      <c r="N2" s="17">
        <f>SQRT(GETPIVOTDATA("Sum Radius^2",$P$1)/CHIINV(0.5,2*GETPIVOTDATA("Count of Group",$P$1)-2*COUNT(P:P)))</f>
        <v>1.4662810969906399</v>
      </c>
      <c r="P2">
        <v>1</v>
      </c>
      <c r="Q2" s="18">
        <v>80.270486193782403</v>
      </c>
      <c r="R2" s="19">
        <v>20</v>
      </c>
      <c r="S2" s="20">
        <v>1.2920452619408402</v>
      </c>
      <c r="T2" s="20">
        <v>1.5985560585565748</v>
      </c>
      <c r="U2" s="21">
        <f>2*R2-1</f>
        <v>39</v>
      </c>
      <c r="V2" s="21">
        <f>1/EXP(LN(SQRT(2/(U2-1))) + GAMMALN(U2/2) - GAMMALN((U2-1)/2))</f>
        <v>1.006599872458809</v>
      </c>
      <c r="W2" s="22">
        <f>V2*SQRT(Q2/(2*(R2-1)))</f>
        <v>1.4629955982881091</v>
      </c>
      <c r="X2" s="23">
        <f>SQRT(Q2/CHIINV((1-Y$1)/2,2*R2-2))</f>
        <v>1.2732690099823067</v>
      </c>
      <c r="Y2" s="23">
        <f>SQRT(Q2/CHIINV(0.5+Y$1/2,2*R2-2))</f>
        <v>1.7133861904607615</v>
      </c>
    </row>
    <row r="3" spans="1:25" ht="13" x14ac:dyDescent="0.3">
      <c r="A3" s="24">
        <v>1</v>
      </c>
      <c r="B3" s="25">
        <v>50</v>
      </c>
      <c r="C3" s="24">
        <v>2.7250000000000001</v>
      </c>
      <c r="D3" s="24">
        <v>3.1240000000000001</v>
      </c>
      <c r="E3" s="26">
        <f>(C3)/(0.01047*$B3)</f>
        <v>5.2053486150907355</v>
      </c>
      <c r="F3" s="26">
        <f>(D3)/(0.01047*$B3)</f>
        <v>5.9675262655205357</v>
      </c>
      <c r="G3" s="26">
        <f t="shared" ref="G3:H22" si="0">AVERAGEIF($A:$A,"="&amp;$A3,E:E)</f>
        <v>5.4663801337153775</v>
      </c>
      <c r="H3" s="26">
        <f t="shared" si="0"/>
        <v>8.8775549188156653</v>
      </c>
      <c r="I3" s="26">
        <f>E3-G3</f>
        <v>-0.26103151862464191</v>
      </c>
      <c r="J3">
        <f>H3-F3</f>
        <v>2.9100286532951296</v>
      </c>
      <c r="K3" s="27">
        <f>POWER(E3-G3,2)+POWER(F3-H3,2)</f>
        <v>8.5364042167141516</v>
      </c>
      <c r="M3" s="29" t="s">
        <v>22</v>
      </c>
      <c r="N3" s="30">
        <f>SQRT(GETPIVOTDATA("Sum Radius^2",$P$1)/CHIINV(0.9,2*GETPIVOTDATA("Count of Group",$P$1)-2*COUNT(P:P)))</f>
        <v>1.7133861904607615</v>
      </c>
      <c r="P3" s="31" t="s">
        <v>23</v>
      </c>
      <c r="Q3" s="32">
        <v>80.270486193782403</v>
      </c>
      <c r="R3" s="33">
        <v>20</v>
      </c>
      <c r="S3" s="20">
        <v>1.2920452619408402</v>
      </c>
      <c r="T3" s="20">
        <v>1.5985560585565748</v>
      </c>
      <c r="U3" s="21">
        <f>2*R3-1</f>
        <v>39</v>
      </c>
      <c r="V3" s="21">
        <f>1/EXP(LN(SQRT(2/(U3-1))) + GAMMALN(U3/2) - GAMMALN((U3-1)/2))</f>
        <v>1.006599872458809</v>
      </c>
      <c r="W3" s="22">
        <f>V3*SQRT(Q3/(2*(R3-1)))</f>
        <v>1.4629955982881091</v>
      </c>
      <c r="X3" s="23">
        <f>SQRT(Q3/CHIINV((1-Y$1)/2,2*R3-2))</f>
        <v>1.2732690099823067</v>
      </c>
      <c r="Y3" s="23">
        <f>SQRT(Q3/CHIINV(0.5+Y$1/2,2*R3-2))</f>
        <v>1.7133861904607615</v>
      </c>
    </row>
    <row r="4" spans="1:25" ht="13" x14ac:dyDescent="0.3">
      <c r="A4" s="24">
        <v>1</v>
      </c>
      <c r="B4" s="25">
        <v>50</v>
      </c>
      <c r="C4" s="24">
        <v>3.1059999999999999</v>
      </c>
      <c r="D4" s="24">
        <v>3.3980000000000001</v>
      </c>
      <c r="E4" s="26">
        <f t="shared" ref="E4:F22" si="1">(C4)/(0.01047*$B4)</f>
        <v>5.9331423113658071</v>
      </c>
      <c r="F4" s="26">
        <f t="shared" si="1"/>
        <v>6.4909264565425033</v>
      </c>
      <c r="G4" s="26">
        <f t="shared" si="0"/>
        <v>5.4663801337153775</v>
      </c>
      <c r="H4" s="26">
        <f t="shared" si="0"/>
        <v>8.8775549188156653</v>
      </c>
      <c r="I4" s="26">
        <f t="shared" ref="I4:I22" si="2">E4-G4</f>
        <v>0.4667621776504296</v>
      </c>
      <c r="J4">
        <f t="shared" ref="J4:J22" si="3">H4-F4</f>
        <v>2.3866284622731619</v>
      </c>
      <c r="K4" s="27">
        <f t="shared" ref="K4:K22" si="4">POWER(E4-G4,2)+POWER(F4-H4,2)</f>
        <v>5.9138623474173286</v>
      </c>
      <c r="R4"/>
      <c r="S4"/>
      <c r="T4"/>
      <c r="W4" s="22"/>
      <c r="X4" s="23"/>
      <c r="Y4" s="23"/>
    </row>
    <row r="5" spans="1:25" ht="13" x14ac:dyDescent="0.3">
      <c r="A5" s="24">
        <v>1</v>
      </c>
      <c r="B5" s="25">
        <v>50</v>
      </c>
      <c r="C5" s="24">
        <v>3.722</v>
      </c>
      <c r="D5" s="24">
        <v>3.8450000000000002</v>
      </c>
      <c r="E5" s="26">
        <f t="shared" si="1"/>
        <v>7.1098376313276033</v>
      </c>
      <c r="F5" s="26">
        <f t="shared" si="1"/>
        <v>7.3447946513849098</v>
      </c>
      <c r="G5" s="26">
        <f t="shared" si="0"/>
        <v>5.4663801337153775</v>
      </c>
      <c r="H5" s="26">
        <f t="shared" si="0"/>
        <v>8.8775549188156653</v>
      </c>
      <c r="I5" s="26">
        <f t="shared" si="2"/>
        <v>1.6434574976122258</v>
      </c>
      <c r="J5">
        <f t="shared" si="3"/>
        <v>1.5327602674307554</v>
      </c>
      <c r="K5" s="27">
        <f t="shared" si="4"/>
        <v>5.0503065838722403</v>
      </c>
      <c r="M5" s="34" t="s">
        <v>24</v>
      </c>
      <c r="N5" s="35" t="s">
        <v>2</v>
      </c>
      <c r="R5"/>
      <c r="S5"/>
      <c r="T5"/>
      <c r="U5" s="36"/>
      <c r="V5" s="36"/>
      <c r="W5" s="37"/>
      <c r="X5" s="38"/>
      <c r="Y5" s="39"/>
    </row>
    <row r="6" spans="1:25" ht="13" x14ac:dyDescent="0.3">
      <c r="A6" s="24">
        <v>1</v>
      </c>
      <c r="B6" s="25">
        <v>50</v>
      </c>
      <c r="C6" s="24">
        <v>4.1120000000000001</v>
      </c>
      <c r="D6" s="24">
        <v>4.4329999999999998</v>
      </c>
      <c r="E6" s="26">
        <f t="shared" si="1"/>
        <v>7.8548233046800391</v>
      </c>
      <c r="F6" s="26">
        <f t="shared" si="1"/>
        <v>8.4680038204393515</v>
      </c>
      <c r="G6" s="26">
        <f t="shared" si="0"/>
        <v>5.4663801337153775</v>
      </c>
      <c r="H6" s="26">
        <f t="shared" si="0"/>
        <v>8.8775549188156653</v>
      </c>
      <c r="I6" s="26">
        <f t="shared" si="2"/>
        <v>2.3884431709646616</v>
      </c>
      <c r="J6">
        <f t="shared" si="3"/>
        <v>0.40955109837631376</v>
      </c>
      <c r="K6" s="27">
        <f t="shared" si="4"/>
        <v>5.8723928831089722</v>
      </c>
      <c r="M6" s="40">
        <f>1-EXP(-POWER(N6/$N$3,2)/2)</f>
        <v>0.15660307264158191</v>
      </c>
      <c r="N6" s="41">
        <v>1</v>
      </c>
      <c r="R6" s="42"/>
      <c r="S6" s="55" t="s">
        <v>31</v>
      </c>
      <c r="T6" s="56">
        <f>AVERAGE(T9:T28)</f>
        <v>951.5</v>
      </c>
      <c r="Y6" s="43"/>
    </row>
    <row r="7" spans="1:25" ht="13" x14ac:dyDescent="0.3">
      <c r="A7" s="24">
        <v>1</v>
      </c>
      <c r="B7" s="25">
        <v>50</v>
      </c>
      <c r="C7" s="24">
        <v>2.7629999999999999</v>
      </c>
      <c r="D7" s="24">
        <v>3.8540000000000001</v>
      </c>
      <c r="E7" s="26">
        <f t="shared" si="1"/>
        <v>5.2779369627507169</v>
      </c>
      <c r="F7" s="26">
        <f t="shared" si="1"/>
        <v>7.3619866284622741</v>
      </c>
      <c r="G7" s="26">
        <f t="shared" si="0"/>
        <v>5.4663801337153775</v>
      </c>
      <c r="H7" s="26">
        <f t="shared" si="0"/>
        <v>8.8775549188156653</v>
      </c>
      <c r="I7" s="26">
        <f t="shared" si="2"/>
        <v>-0.18844317096466057</v>
      </c>
      <c r="J7">
        <f t="shared" si="3"/>
        <v>1.5155682903533911</v>
      </c>
      <c r="K7" s="27">
        <f t="shared" si="4"/>
        <v>2.3324580714079173</v>
      </c>
      <c r="M7" s="40">
        <f t="shared" ref="M7:M8" si="5">1-EXP(-POWER(N7/$N$3,2)/2)</f>
        <v>0.38873078837061603</v>
      </c>
      <c r="N7" s="41">
        <v>1.7</v>
      </c>
      <c r="R7" s="42"/>
      <c r="S7" s="55" t="s">
        <v>32</v>
      </c>
      <c r="T7" s="57">
        <f>STDEV(T9:T28)</f>
        <v>11.91858345521595</v>
      </c>
      <c r="U7" s="44"/>
      <c r="V7" s="44"/>
      <c r="W7" s="44"/>
      <c r="X7" s="44"/>
      <c r="Y7" s="45"/>
    </row>
    <row r="8" spans="1:25" ht="13" x14ac:dyDescent="0.3">
      <c r="A8" s="24">
        <v>1</v>
      </c>
      <c r="B8" s="25">
        <v>50</v>
      </c>
      <c r="C8" s="24">
        <v>1.7949999999999999</v>
      </c>
      <c r="D8" s="24">
        <v>3.9390000000000001</v>
      </c>
      <c r="E8" s="26">
        <f t="shared" si="1"/>
        <v>3.4288443170964662</v>
      </c>
      <c r="F8" s="26">
        <f t="shared" si="1"/>
        <v>7.5243553008595994</v>
      </c>
      <c r="G8" s="26">
        <f t="shared" si="0"/>
        <v>5.4663801337153775</v>
      </c>
      <c r="H8" s="26">
        <f t="shared" si="0"/>
        <v>8.8775549188156653</v>
      </c>
      <c r="I8" s="26">
        <f t="shared" si="2"/>
        <v>-2.0375358166189113</v>
      </c>
      <c r="J8">
        <f t="shared" si="3"/>
        <v>1.3531996179560659</v>
      </c>
      <c r="K8" s="27">
        <f t="shared" si="4"/>
        <v>5.9827014100413365</v>
      </c>
      <c r="M8" s="40">
        <f t="shared" si="5"/>
        <v>0.78408235724171971</v>
      </c>
      <c r="N8" s="41">
        <v>3</v>
      </c>
      <c r="S8" s="53" t="s">
        <v>29</v>
      </c>
      <c r="T8" s="54" t="s">
        <v>30</v>
      </c>
    </row>
    <row r="9" spans="1:25" x14ac:dyDescent="0.25">
      <c r="A9" s="24">
        <v>1</v>
      </c>
      <c r="B9" s="25">
        <v>50</v>
      </c>
      <c r="C9" s="24">
        <v>1.984</v>
      </c>
      <c r="D9" s="24">
        <v>3.968</v>
      </c>
      <c r="E9" s="26">
        <f t="shared" si="1"/>
        <v>3.7898758357211082</v>
      </c>
      <c r="F9" s="26">
        <f t="shared" si="1"/>
        <v>7.5797516714422164</v>
      </c>
      <c r="G9" s="26">
        <f t="shared" si="0"/>
        <v>5.4663801337153775</v>
      </c>
      <c r="H9" s="26">
        <f t="shared" si="0"/>
        <v>8.8775549188156653</v>
      </c>
      <c r="I9" s="26">
        <f t="shared" si="2"/>
        <v>-1.6765042979942693</v>
      </c>
      <c r="J9">
        <f t="shared" si="3"/>
        <v>1.2978032473734489</v>
      </c>
      <c r="K9" s="27">
        <f t="shared" si="4"/>
        <v>4.4949599300863268</v>
      </c>
      <c r="M9" s="29" t="s">
        <v>25</v>
      </c>
      <c r="N9" s="47">
        <f>N3*SQRT(LN(4))</f>
        <v>2.0173580730881087</v>
      </c>
      <c r="S9">
        <v>20</v>
      </c>
      <c r="T9">
        <v>935</v>
      </c>
    </row>
    <row r="10" spans="1:25" x14ac:dyDescent="0.25">
      <c r="A10" s="24">
        <v>1</v>
      </c>
      <c r="B10" s="25">
        <v>50</v>
      </c>
      <c r="C10" s="24">
        <v>2.488</v>
      </c>
      <c r="D10" s="24">
        <v>4.1680000000000001</v>
      </c>
      <c r="E10" s="26">
        <f t="shared" si="1"/>
        <v>4.7526265520534867</v>
      </c>
      <c r="F10" s="26">
        <f t="shared" si="1"/>
        <v>7.9617956064947473</v>
      </c>
      <c r="G10" s="26">
        <f t="shared" si="0"/>
        <v>5.4663801337153775</v>
      </c>
      <c r="H10" s="26">
        <f t="shared" si="0"/>
        <v>8.8775549188156653</v>
      </c>
      <c r="I10" s="26">
        <f t="shared" si="2"/>
        <v>-0.71375358166189073</v>
      </c>
      <c r="J10">
        <f t="shared" si="3"/>
        <v>0.91575931232091801</v>
      </c>
      <c r="K10" s="27">
        <f t="shared" si="4"/>
        <v>1.3480592934376578</v>
      </c>
      <c r="S10">
        <v>19</v>
      </c>
      <c r="T10">
        <v>948</v>
      </c>
    </row>
    <row r="11" spans="1:25" x14ac:dyDescent="0.25">
      <c r="A11" s="24">
        <v>1</v>
      </c>
      <c r="B11" s="25">
        <v>50</v>
      </c>
      <c r="C11" s="24">
        <v>3.1720000000000002</v>
      </c>
      <c r="D11" s="24">
        <v>4.4050000000000002</v>
      </c>
      <c r="E11" s="26">
        <f t="shared" si="1"/>
        <v>6.0592168099331429</v>
      </c>
      <c r="F11" s="26">
        <f t="shared" si="1"/>
        <v>8.4145176695319979</v>
      </c>
      <c r="G11" s="26">
        <f t="shared" si="0"/>
        <v>5.4663801337153775</v>
      </c>
      <c r="H11" s="26">
        <f t="shared" si="0"/>
        <v>8.8775549188156653</v>
      </c>
      <c r="I11" s="26">
        <f t="shared" si="2"/>
        <v>0.59283667621776548</v>
      </c>
      <c r="J11">
        <f t="shared" si="3"/>
        <v>0.46303724928366741</v>
      </c>
      <c r="K11" s="27">
        <f t="shared" si="4"/>
        <v>0.56585881889311285</v>
      </c>
      <c r="S11">
        <v>18</v>
      </c>
      <c r="T11">
        <v>942</v>
      </c>
    </row>
    <row r="12" spans="1:25" x14ac:dyDescent="0.25">
      <c r="A12" s="24">
        <v>1</v>
      </c>
      <c r="B12" s="25">
        <v>50</v>
      </c>
      <c r="C12" s="48">
        <v>2.8010000000000002</v>
      </c>
      <c r="D12" s="48">
        <v>4.6710000000000003</v>
      </c>
      <c r="E12" s="49">
        <f t="shared" si="1"/>
        <v>5.3505253104106982</v>
      </c>
      <c r="F12" s="49">
        <f t="shared" si="1"/>
        <v>8.9226361031518628</v>
      </c>
      <c r="G12" s="49">
        <f t="shared" si="0"/>
        <v>5.4663801337153775</v>
      </c>
      <c r="H12" s="49">
        <f t="shared" si="0"/>
        <v>8.8775549188156653</v>
      </c>
      <c r="I12" s="49">
        <f t="shared" si="2"/>
        <v>-0.11585482330467922</v>
      </c>
      <c r="J12">
        <f t="shared" si="3"/>
        <v>-4.5081184336197566E-2</v>
      </c>
      <c r="K12" s="49">
        <f t="shared" si="4"/>
        <v>1.5454653264112668E-2</v>
      </c>
      <c r="S12">
        <v>17</v>
      </c>
      <c r="T12">
        <v>943</v>
      </c>
    </row>
    <row r="13" spans="1:25" x14ac:dyDescent="0.25">
      <c r="A13" s="24">
        <v>1</v>
      </c>
      <c r="B13" s="25">
        <v>50</v>
      </c>
      <c r="C13" s="24">
        <v>3.048</v>
      </c>
      <c r="D13" s="24">
        <v>4.6900000000000004</v>
      </c>
      <c r="E13" s="26">
        <f t="shared" si="1"/>
        <v>5.8223495702005739</v>
      </c>
      <c r="F13" s="26">
        <f t="shared" si="1"/>
        <v>8.9589302769818548</v>
      </c>
      <c r="G13" s="26">
        <f t="shared" si="0"/>
        <v>5.4663801337153775</v>
      </c>
      <c r="H13" s="26">
        <f t="shared" si="0"/>
        <v>8.8775549188156653</v>
      </c>
      <c r="I13" s="26">
        <f t="shared" si="2"/>
        <v>0.35596943648519641</v>
      </c>
      <c r="J13">
        <f t="shared" si="3"/>
        <v>-8.1375358166189571E-2</v>
      </c>
      <c r="K13" s="27">
        <f t="shared" si="4"/>
        <v>0.13333618862826394</v>
      </c>
      <c r="S13">
        <v>16</v>
      </c>
      <c r="T13">
        <v>970</v>
      </c>
    </row>
    <row r="14" spans="1:25" x14ac:dyDescent="0.25">
      <c r="A14" s="24">
        <v>1</v>
      </c>
      <c r="B14" s="25">
        <v>50</v>
      </c>
      <c r="C14" s="24">
        <v>3.3330000000000002</v>
      </c>
      <c r="D14" s="24">
        <v>4.7839999999999998</v>
      </c>
      <c r="E14" s="26">
        <f t="shared" si="1"/>
        <v>6.3667621776504308</v>
      </c>
      <c r="F14" s="26">
        <f t="shared" si="1"/>
        <v>9.1384909264565426</v>
      </c>
      <c r="G14" s="26">
        <f t="shared" si="0"/>
        <v>5.4663801337153775</v>
      </c>
      <c r="H14" s="26">
        <f t="shared" si="0"/>
        <v>8.8775549188156653</v>
      </c>
      <c r="I14" s="26">
        <f t="shared" si="2"/>
        <v>0.90038204393505339</v>
      </c>
      <c r="J14">
        <f t="shared" si="3"/>
        <v>-0.26093600764087732</v>
      </c>
      <c r="K14" s="27">
        <f t="shared" si="4"/>
        <v>0.87877542512422435</v>
      </c>
      <c r="S14">
        <v>15</v>
      </c>
      <c r="T14">
        <v>943</v>
      </c>
    </row>
    <row r="15" spans="1:25" x14ac:dyDescent="0.25">
      <c r="A15" s="24">
        <v>1</v>
      </c>
      <c r="B15" s="25">
        <v>50</v>
      </c>
      <c r="C15" s="24">
        <v>2.383</v>
      </c>
      <c r="D15" s="24">
        <v>4.8979999999999997</v>
      </c>
      <c r="E15" s="26">
        <f t="shared" si="1"/>
        <v>4.5520534861509079</v>
      </c>
      <c r="F15" s="26">
        <f t="shared" si="1"/>
        <v>9.3562559694364857</v>
      </c>
      <c r="G15" s="26">
        <f t="shared" si="0"/>
        <v>5.4663801337153775</v>
      </c>
      <c r="H15" s="26">
        <f t="shared" si="0"/>
        <v>8.8775549188156653</v>
      </c>
      <c r="I15" s="26">
        <f t="shared" si="2"/>
        <v>-0.91432664756446957</v>
      </c>
      <c r="J15">
        <f t="shared" si="3"/>
        <v>-0.47870105062082047</v>
      </c>
      <c r="K15" s="27">
        <f t="shared" si="4"/>
        <v>1.0651479143119591</v>
      </c>
      <c r="S15">
        <v>14</v>
      </c>
      <c r="T15">
        <v>950</v>
      </c>
    </row>
    <row r="16" spans="1:25" x14ac:dyDescent="0.25">
      <c r="A16" s="24">
        <v>1</v>
      </c>
      <c r="B16" s="25">
        <v>50</v>
      </c>
      <c r="C16" s="24">
        <v>2.27</v>
      </c>
      <c r="D16" s="24">
        <v>5.0979999999999999</v>
      </c>
      <c r="E16" s="26">
        <f t="shared" si="1"/>
        <v>4.3361986628462272</v>
      </c>
      <c r="F16" s="26">
        <f t="shared" si="1"/>
        <v>9.7382999044890166</v>
      </c>
      <c r="G16" s="26">
        <f t="shared" si="0"/>
        <v>5.4663801337153775</v>
      </c>
      <c r="H16" s="26">
        <f t="shared" si="0"/>
        <v>8.8775549188156653</v>
      </c>
      <c r="I16" s="26">
        <f t="shared" si="2"/>
        <v>-1.1301814708691502</v>
      </c>
      <c r="J16">
        <f t="shared" si="3"/>
        <v>-0.86074498567335134</v>
      </c>
      <c r="K16" s="27">
        <f t="shared" si="4"/>
        <v>2.0181920874577735</v>
      </c>
      <c r="S16">
        <v>13</v>
      </c>
      <c r="T16">
        <v>951</v>
      </c>
    </row>
    <row r="17" spans="1:20" x14ac:dyDescent="0.25">
      <c r="A17" s="24">
        <v>1</v>
      </c>
      <c r="B17" s="25">
        <v>50</v>
      </c>
      <c r="C17" s="24">
        <v>3.048</v>
      </c>
      <c r="D17" s="24">
        <v>5.2590000000000003</v>
      </c>
      <c r="E17" s="26">
        <f t="shared" si="1"/>
        <v>5.8223495702005739</v>
      </c>
      <c r="F17" s="26">
        <f t="shared" si="1"/>
        <v>10.045845272206305</v>
      </c>
      <c r="G17" s="26">
        <f t="shared" si="0"/>
        <v>5.4663801337153775</v>
      </c>
      <c r="H17" s="26">
        <f t="shared" si="0"/>
        <v>8.8775549188156653</v>
      </c>
      <c r="I17" s="26">
        <f t="shared" si="2"/>
        <v>0.35596943648519641</v>
      </c>
      <c r="J17">
        <f t="shared" si="3"/>
        <v>-1.1682903533906401</v>
      </c>
      <c r="K17" s="27">
        <f t="shared" si="4"/>
        <v>1.4916165895372151</v>
      </c>
      <c r="S17">
        <v>12</v>
      </c>
      <c r="T17">
        <v>952</v>
      </c>
    </row>
    <row r="18" spans="1:20" x14ac:dyDescent="0.25">
      <c r="A18" s="24">
        <v>1</v>
      </c>
      <c r="B18" s="25">
        <v>50</v>
      </c>
      <c r="C18" s="24">
        <v>3.6280000000000001</v>
      </c>
      <c r="D18" s="24">
        <v>5.24</v>
      </c>
      <c r="E18" s="26">
        <f t="shared" si="1"/>
        <v>6.9302769818529137</v>
      </c>
      <c r="F18" s="26">
        <f t="shared" si="1"/>
        <v>10.009551098376315</v>
      </c>
      <c r="G18" s="26">
        <f t="shared" si="0"/>
        <v>5.4663801337153775</v>
      </c>
      <c r="H18" s="26">
        <f t="shared" si="0"/>
        <v>8.8775549188156653</v>
      </c>
      <c r="I18" s="26">
        <f t="shared" si="2"/>
        <v>1.4638968481375363</v>
      </c>
      <c r="J18">
        <f t="shared" si="3"/>
        <v>-1.1319961795606499</v>
      </c>
      <c r="K18" s="27">
        <f t="shared" si="4"/>
        <v>3.4244093325269205</v>
      </c>
      <c r="S18">
        <v>11</v>
      </c>
      <c r="T18">
        <v>960</v>
      </c>
    </row>
    <row r="19" spans="1:20" x14ac:dyDescent="0.25">
      <c r="A19" s="24">
        <v>1</v>
      </c>
      <c r="B19" s="25">
        <v>50</v>
      </c>
      <c r="C19" s="24">
        <v>3.6560000000000001</v>
      </c>
      <c r="D19" s="24">
        <v>5.43</v>
      </c>
      <c r="E19" s="26">
        <f t="shared" si="1"/>
        <v>6.9837631327602683</v>
      </c>
      <c r="F19" s="26">
        <f t="shared" si="1"/>
        <v>10.372492836676217</v>
      </c>
      <c r="G19" s="26">
        <f t="shared" si="0"/>
        <v>5.4663801337153775</v>
      </c>
      <c r="H19" s="26">
        <f t="shared" si="0"/>
        <v>8.8775549188156653</v>
      </c>
      <c r="I19" s="26">
        <f t="shared" si="2"/>
        <v>1.5173829990448908</v>
      </c>
      <c r="J19">
        <f t="shared" si="3"/>
        <v>-1.4949379178605522</v>
      </c>
      <c r="K19" s="27">
        <f t="shared" si="4"/>
        <v>4.5372905440477105</v>
      </c>
      <c r="S19">
        <v>10</v>
      </c>
      <c r="T19">
        <v>974</v>
      </c>
    </row>
    <row r="20" spans="1:20" x14ac:dyDescent="0.25">
      <c r="A20" s="24">
        <v>1</v>
      </c>
      <c r="B20" s="25">
        <v>50</v>
      </c>
      <c r="C20" s="24">
        <v>3.3330000000000002</v>
      </c>
      <c r="D20" s="24">
        <v>5.63</v>
      </c>
      <c r="E20" s="26">
        <f t="shared" si="1"/>
        <v>6.3667621776504308</v>
      </c>
      <c r="F20" s="26">
        <f t="shared" si="1"/>
        <v>10.75453677172875</v>
      </c>
      <c r="G20" s="26">
        <f t="shared" si="0"/>
        <v>5.4663801337153775</v>
      </c>
      <c r="H20" s="26">
        <f t="shared" si="0"/>
        <v>8.8775549188156653</v>
      </c>
      <c r="I20" s="26">
        <f t="shared" si="2"/>
        <v>0.90038204393505339</v>
      </c>
      <c r="J20">
        <f t="shared" si="3"/>
        <v>-1.8769818529130848</v>
      </c>
      <c r="K20" s="27">
        <f t="shared" si="4"/>
        <v>4.3337487012057014</v>
      </c>
      <c r="S20">
        <v>9</v>
      </c>
      <c r="T20">
        <v>947</v>
      </c>
    </row>
    <row r="21" spans="1:20" x14ac:dyDescent="0.25">
      <c r="A21" s="24">
        <v>1</v>
      </c>
      <c r="B21" s="25">
        <v>50</v>
      </c>
      <c r="C21" s="24">
        <v>2.1749999999999998</v>
      </c>
      <c r="D21" s="24">
        <v>5.6769999999999996</v>
      </c>
      <c r="E21" s="26">
        <f t="shared" si="1"/>
        <v>4.1547277936962752</v>
      </c>
      <c r="F21" s="26">
        <f t="shared" si="1"/>
        <v>10.844317096466094</v>
      </c>
      <c r="G21" s="26">
        <f t="shared" si="0"/>
        <v>5.4663801337153775</v>
      </c>
      <c r="H21" s="26">
        <f t="shared" si="0"/>
        <v>8.8775549188156653</v>
      </c>
      <c r="I21" s="26">
        <f t="shared" si="2"/>
        <v>-1.3116523400191022</v>
      </c>
      <c r="J21">
        <f t="shared" si="3"/>
        <v>-1.9667621776504287</v>
      </c>
      <c r="K21" s="27">
        <f t="shared" si="4"/>
        <v>5.5885853245138435</v>
      </c>
      <c r="S21">
        <v>8</v>
      </c>
      <c r="T21">
        <v>953</v>
      </c>
    </row>
    <row r="22" spans="1:20" x14ac:dyDescent="0.25">
      <c r="A22" s="24">
        <v>1</v>
      </c>
      <c r="B22" s="25">
        <v>50</v>
      </c>
      <c r="C22" s="48">
        <v>1.6910000000000001</v>
      </c>
      <c r="D22" s="48">
        <v>6.4370000000000003</v>
      </c>
      <c r="E22" s="49">
        <f t="shared" si="1"/>
        <v>3.2301814708691503</v>
      </c>
      <c r="F22" s="49">
        <f t="shared" si="1"/>
        <v>12.296084049665714</v>
      </c>
      <c r="G22" s="49">
        <f t="shared" si="0"/>
        <v>5.4663801337153775</v>
      </c>
      <c r="H22" s="49">
        <f t="shared" si="0"/>
        <v>8.8775549188156653</v>
      </c>
      <c r="I22" s="49">
        <f t="shared" si="2"/>
        <v>-2.2361986628462271</v>
      </c>
      <c r="J22">
        <f t="shared" si="3"/>
        <v>-3.4185291308500485</v>
      </c>
      <c r="K22" s="49">
        <f t="shared" si="4"/>
        <v>16.68692587818564</v>
      </c>
      <c r="S22">
        <v>7</v>
      </c>
      <c r="T22">
        <v>934</v>
      </c>
    </row>
    <row r="23" spans="1:20" x14ac:dyDescent="0.25">
      <c r="A23" s="24"/>
      <c r="B23" s="25"/>
      <c r="C23" s="24"/>
      <c r="D23" s="24"/>
      <c r="F23" s="26"/>
      <c r="G23" s="26"/>
      <c r="H23" s="26"/>
      <c r="I23" s="26"/>
      <c r="K23" s="27"/>
      <c r="S23">
        <v>6</v>
      </c>
      <c r="T23">
        <v>944</v>
      </c>
    </row>
    <row r="24" spans="1:20" x14ac:dyDescent="0.25">
      <c r="A24" s="24"/>
      <c r="B24" s="25"/>
      <c r="C24" s="24"/>
      <c r="D24" s="24"/>
      <c r="F24" s="26"/>
      <c r="G24" s="26"/>
      <c r="H24" s="26"/>
      <c r="I24" s="26"/>
      <c r="K24" s="27"/>
      <c r="S24">
        <v>5</v>
      </c>
      <c r="T24">
        <v>954</v>
      </c>
    </row>
    <row r="25" spans="1:20" x14ac:dyDescent="0.25">
      <c r="A25" s="24"/>
      <c r="B25" s="25"/>
      <c r="C25" s="24"/>
      <c r="D25" s="24"/>
      <c r="F25" s="26"/>
      <c r="G25" s="26"/>
      <c r="H25" s="26"/>
      <c r="I25" s="26"/>
      <c r="K25" s="27"/>
      <c r="S25">
        <v>4</v>
      </c>
      <c r="T25">
        <v>961</v>
      </c>
    </row>
    <row r="26" spans="1:20" x14ac:dyDescent="0.25">
      <c r="A26" s="24"/>
      <c r="B26" s="25"/>
      <c r="C26" s="24"/>
      <c r="D26" s="24"/>
      <c r="F26" s="26"/>
      <c r="G26" s="26"/>
      <c r="H26" s="26"/>
      <c r="I26" s="26"/>
      <c r="K26" s="27"/>
      <c r="S26">
        <v>3</v>
      </c>
      <c r="T26">
        <v>936</v>
      </c>
    </row>
    <row r="27" spans="1:20" x14ac:dyDescent="0.25">
      <c r="A27" s="24"/>
      <c r="B27" s="25"/>
      <c r="C27" s="24"/>
      <c r="D27" s="24"/>
      <c r="F27" s="26"/>
      <c r="G27" s="26"/>
      <c r="H27" s="26"/>
      <c r="I27" s="26"/>
      <c r="K27" s="27"/>
      <c r="S27">
        <v>2</v>
      </c>
      <c r="T27">
        <v>960</v>
      </c>
    </row>
    <row r="28" spans="1:20" x14ac:dyDescent="0.25">
      <c r="A28" s="24"/>
      <c r="B28" s="25"/>
      <c r="C28" s="24"/>
      <c r="D28" s="24"/>
      <c r="F28" s="26"/>
      <c r="G28" s="26"/>
      <c r="H28" s="26"/>
      <c r="I28" s="26"/>
      <c r="K28" s="27"/>
      <c r="S28">
        <v>1</v>
      </c>
      <c r="T28">
        <v>973</v>
      </c>
    </row>
    <row r="29" spans="1:20" x14ac:dyDescent="0.25">
      <c r="A29" s="24"/>
      <c r="B29" s="25"/>
      <c r="C29" s="24"/>
      <c r="D29" s="24"/>
      <c r="F29" s="26"/>
      <c r="G29" s="26"/>
      <c r="H29" s="26"/>
      <c r="I29" s="26"/>
      <c r="K29" s="27"/>
    </row>
    <row r="30" spans="1:20" x14ac:dyDescent="0.25">
      <c r="A30" s="24"/>
      <c r="B30" s="25"/>
      <c r="C30" s="24"/>
      <c r="D30" s="24"/>
      <c r="F30" s="26"/>
      <c r="G30" s="26"/>
      <c r="H30" s="26"/>
      <c r="I30" s="26"/>
      <c r="K30" s="27"/>
    </row>
    <row r="31" spans="1:20" x14ac:dyDescent="0.25">
      <c r="A31" s="24"/>
      <c r="B31" s="25"/>
      <c r="C31" s="24"/>
      <c r="D31" s="24"/>
      <c r="F31" s="26"/>
      <c r="G31" s="26"/>
      <c r="H31" s="26"/>
      <c r="I31" s="26"/>
      <c r="K31" s="27"/>
    </row>
    <row r="32" spans="1:20" x14ac:dyDescent="0.25">
      <c r="A32" s="24"/>
      <c r="B32" s="25"/>
      <c r="C32" s="24"/>
      <c r="D32" s="24"/>
      <c r="F32" s="26"/>
      <c r="G32" s="26"/>
      <c r="H32" s="26"/>
      <c r="I32" s="26"/>
      <c r="K32" s="27"/>
    </row>
  </sheetData>
  <mergeCells count="2">
    <mergeCell ref="C1:D1"/>
    <mergeCell ref="E1:K1"/>
  </mergeCell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/>
  </sheetViews>
  <sheetFormatPr defaultRowHeight="12.5" x14ac:dyDescent="0.25"/>
  <sheetData>
    <row r="1" spans="1:7" ht="13" x14ac:dyDescent="0.3">
      <c r="A1" s="52" t="s">
        <v>26</v>
      </c>
      <c r="B1" s="52" t="s">
        <v>27</v>
      </c>
      <c r="C1" s="52" t="s">
        <v>28</v>
      </c>
      <c r="D1" s="52"/>
      <c r="E1" s="52" t="s">
        <v>26</v>
      </c>
      <c r="F1" s="52" t="s">
        <v>27</v>
      </c>
      <c r="G1" s="52" t="s">
        <v>28</v>
      </c>
    </row>
    <row r="2" spans="1:7" x14ac:dyDescent="0.25">
      <c r="A2">
        <v>25</v>
      </c>
      <c r="B2">
        <v>-0.38815663801337053</v>
      </c>
      <c r="C2">
        <v>2.5625596943648503</v>
      </c>
      <c r="E2">
        <v>50</v>
      </c>
      <c r="F2">
        <v>-0.26103151862464191</v>
      </c>
      <c r="G2">
        <v>2.9100286532951296</v>
      </c>
    </row>
    <row r="3" spans="1:7" x14ac:dyDescent="0.25">
      <c r="A3">
        <v>25</v>
      </c>
      <c r="B3">
        <v>0.69684813753581665</v>
      </c>
      <c r="C3">
        <v>1.9971346704871031</v>
      </c>
      <c r="E3">
        <v>50</v>
      </c>
      <c r="F3">
        <v>0.4667621776504296</v>
      </c>
      <c r="G3">
        <v>2.3866284622731619</v>
      </c>
    </row>
    <row r="4" spans="1:7" x14ac:dyDescent="0.25">
      <c r="A4">
        <v>25</v>
      </c>
      <c r="B4">
        <v>1.9690544412607451</v>
      </c>
      <c r="C4">
        <v>0.77841451766952829</v>
      </c>
      <c r="E4">
        <v>50</v>
      </c>
      <c r="F4">
        <v>1.6434574976122258</v>
      </c>
      <c r="G4">
        <v>1.5327602674307554</v>
      </c>
    </row>
    <row r="5" spans="1:7" x14ac:dyDescent="0.25">
      <c r="A5">
        <v>25</v>
      </c>
      <c r="B5">
        <v>2.5382999044890191</v>
      </c>
      <c r="C5">
        <v>0.20916905444125788</v>
      </c>
      <c r="E5">
        <v>50</v>
      </c>
      <c r="F5">
        <v>2.3884431709646616</v>
      </c>
      <c r="G5">
        <v>0.40955109837631376</v>
      </c>
    </row>
    <row r="6" spans="1:7" x14ac:dyDescent="0.25">
      <c r="A6">
        <v>25</v>
      </c>
      <c r="B6">
        <v>2.6681948424068764</v>
      </c>
      <c r="C6">
        <v>-0.36007640878701253</v>
      </c>
      <c r="E6">
        <v>50</v>
      </c>
      <c r="F6">
        <v>-0.18844317096466057</v>
      </c>
      <c r="G6">
        <v>1.5155682903533911</v>
      </c>
    </row>
    <row r="7" spans="1:7" x14ac:dyDescent="0.25">
      <c r="A7">
        <v>25</v>
      </c>
      <c r="B7">
        <v>-7.8701050620820112E-2</v>
      </c>
      <c r="C7">
        <v>1.3247373447946487</v>
      </c>
      <c r="E7">
        <v>50</v>
      </c>
      <c r="F7">
        <v>-2.0375358166189113</v>
      </c>
      <c r="G7">
        <v>1.3531996179560659</v>
      </c>
    </row>
    <row r="8" spans="1:7" x14ac:dyDescent="0.25">
      <c r="A8">
        <v>25</v>
      </c>
      <c r="B8">
        <v>-0.80458452722063001</v>
      </c>
      <c r="C8">
        <v>1.0878701050620805</v>
      </c>
      <c r="E8">
        <v>50</v>
      </c>
      <c r="F8">
        <v>-1.6765042979942693</v>
      </c>
      <c r="G8">
        <v>1.2978032473734489</v>
      </c>
    </row>
    <row r="9" spans="1:7" x14ac:dyDescent="0.25">
      <c r="A9">
        <v>25</v>
      </c>
      <c r="B9">
        <v>-1.2706781279847181</v>
      </c>
      <c r="C9">
        <v>1.3247373447946487</v>
      </c>
      <c r="E9">
        <v>50</v>
      </c>
      <c r="F9">
        <v>-0.71375358166189073</v>
      </c>
      <c r="G9">
        <v>0.91575931232091801</v>
      </c>
    </row>
    <row r="10" spans="1:7" x14ac:dyDescent="0.25">
      <c r="A10">
        <v>25</v>
      </c>
      <c r="B10">
        <v>-1.5801337153772685</v>
      </c>
      <c r="C10">
        <v>1.6609360076408741</v>
      </c>
      <c r="E10">
        <v>50</v>
      </c>
      <c r="F10">
        <v>0.59283667621776548</v>
      </c>
      <c r="G10">
        <v>0.46303724928366741</v>
      </c>
    </row>
    <row r="11" spans="1:7" x14ac:dyDescent="0.25">
      <c r="A11">
        <v>25</v>
      </c>
      <c r="B11">
        <v>-2.0997134670487103</v>
      </c>
      <c r="C11">
        <v>1.0343839541547268</v>
      </c>
      <c r="E11">
        <v>50</v>
      </c>
      <c r="F11">
        <v>-0.11585482330467922</v>
      </c>
      <c r="G11">
        <v>-4.5081184336197566E-2</v>
      </c>
    </row>
    <row r="12" spans="1:7" x14ac:dyDescent="0.25">
      <c r="A12">
        <v>25</v>
      </c>
      <c r="B12">
        <v>-2.3862464183381089</v>
      </c>
      <c r="C12">
        <v>0.15568290353390424</v>
      </c>
      <c r="E12">
        <v>50</v>
      </c>
      <c r="F12">
        <v>0.35596943648519641</v>
      </c>
      <c r="G12">
        <v>-8.1375358166189571E-2</v>
      </c>
    </row>
    <row r="13" spans="1:7" x14ac:dyDescent="0.25">
      <c r="A13">
        <v>25</v>
      </c>
      <c r="B13">
        <v>-0.85807067812798365</v>
      </c>
      <c r="C13">
        <v>-0.62368672397326108</v>
      </c>
      <c r="E13">
        <v>50</v>
      </c>
      <c r="F13">
        <v>0.90038204393505339</v>
      </c>
      <c r="G13">
        <v>-0.26093600764087732</v>
      </c>
    </row>
    <row r="14" spans="1:7" x14ac:dyDescent="0.25">
      <c r="A14">
        <v>25</v>
      </c>
      <c r="B14">
        <v>-2.0997134670487103</v>
      </c>
      <c r="C14">
        <v>-1.8385864374403056</v>
      </c>
      <c r="E14">
        <v>50</v>
      </c>
      <c r="F14">
        <v>-0.91432664756446957</v>
      </c>
      <c r="G14">
        <v>-0.47870105062082047</v>
      </c>
    </row>
    <row r="15" spans="1:7" x14ac:dyDescent="0.25">
      <c r="A15">
        <v>25</v>
      </c>
      <c r="B15">
        <v>-1.7902578796561617</v>
      </c>
      <c r="C15">
        <v>-3.7793696275071653</v>
      </c>
      <c r="E15">
        <v>50</v>
      </c>
      <c r="F15">
        <v>-1.1301814708691502</v>
      </c>
      <c r="G15">
        <v>-0.86074498567335134</v>
      </c>
    </row>
    <row r="16" spans="1:7" x14ac:dyDescent="0.25">
      <c r="A16">
        <v>25</v>
      </c>
      <c r="B16">
        <v>1.6595988538681929</v>
      </c>
      <c r="C16">
        <v>-1.6055396370582642</v>
      </c>
      <c r="E16">
        <v>50</v>
      </c>
      <c r="F16">
        <v>0.35596943648519641</v>
      </c>
      <c r="G16">
        <v>-1.1682903533906401</v>
      </c>
    </row>
    <row r="17" spans="1:7" x14ac:dyDescent="0.25">
      <c r="A17">
        <v>25</v>
      </c>
      <c r="B17">
        <v>0.80000000000000071</v>
      </c>
      <c r="C17">
        <v>-1.9149952244508164</v>
      </c>
      <c r="E17">
        <v>50</v>
      </c>
      <c r="F17">
        <v>1.4638968481375363</v>
      </c>
      <c r="G17">
        <v>-1.1319961795606499</v>
      </c>
    </row>
    <row r="18" spans="1:7" x14ac:dyDescent="0.25">
      <c r="A18">
        <v>25</v>
      </c>
      <c r="B18">
        <v>0.43705826170009843</v>
      </c>
      <c r="C18">
        <v>-0.10028653295129075</v>
      </c>
      <c r="E18">
        <v>50</v>
      </c>
      <c r="F18">
        <v>1.5173829990448908</v>
      </c>
      <c r="G18">
        <v>-1.4949379178605522</v>
      </c>
    </row>
    <row r="19" spans="1:7" x14ac:dyDescent="0.25">
      <c r="A19">
        <v>25</v>
      </c>
      <c r="B19">
        <v>0.69684813753581665</v>
      </c>
      <c r="C19">
        <v>-0.10028653295129075</v>
      </c>
      <c r="E19">
        <v>50</v>
      </c>
      <c r="F19">
        <v>0.90038204393505339</v>
      </c>
      <c r="G19">
        <v>-1.8769818529130848</v>
      </c>
    </row>
    <row r="20" spans="1:7" x14ac:dyDescent="0.25">
      <c r="A20">
        <v>25</v>
      </c>
      <c r="B20">
        <v>1.1667621776504298</v>
      </c>
      <c r="C20">
        <v>-0.77650429799427201</v>
      </c>
      <c r="E20">
        <v>50</v>
      </c>
      <c r="F20">
        <v>-1.3116523400191022</v>
      </c>
      <c r="G20">
        <v>-1.9667621776504287</v>
      </c>
    </row>
    <row r="21" spans="1:7" x14ac:dyDescent="0.25">
      <c r="A21">
        <v>25</v>
      </c>
      <c r="B21">
        <v>0.72359121298949347</v>
      </c>
      <c r="C21">
        <v>-1.0362941738299902</v>
      </c>
      <c r="E21">
        <v>50</v>
      </c>
      <c r="F21">
        <v>-2.2361986628462271</v>
      </c>
      <c r="G21">
        <v>-3.4185291308500485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RowHeight="12.5" x14ac:dyDescent="0.25"/>
  <cols>
    <col min="1" max="1" width="6.26953125" bestFit="1" customWidth="1"/>
    <col min="2" max="2" width="8.26953125" style="50" bestFit="1" customWidth="1"/>
    <col min="5" max="5" width="8.7265625" style="26"/>
    <col min="11" max="11" width="8.7265625" style="50"/>
    <col min="12" max="12" width="8.7265625" style="28"/>
    <col min="13" max="13" width="18.36328125" bestFit="1" customWidth="1"/>
    <col min="16" max="16" width="11.08984375" customWidth="1"/>
    <col min="17" max="17" width="10.90625" customWidth="1"/>
    <col min="18" max="18" width="11.54296875" style="46" customWidth="1"/>
    <col min="19" max="20" width="8.7265625" style="46" customWidth="1"/>
    <col min="21" max="22" width="8.7265625" style="21"/>
  </cols>
  <sheetData>
    <row r="1" spans="1:25" ht="13.5" thickBot="1" x14ac:dyDescent="0.35">
      <c r="B1" s="1" t="s">
        <v>0</v>
      </c>
      <c r="C1" s="60" t="s">
        <v>1</v>
      </c>
      <c r="D1" s="61"/>
      <c r="E1" s="62" t="s">
        <v>2</v>
      </c>
      <c r="F1" s="63"/>
      <c r="G1" s="63"/>
      <c r="H1" s="63"/>
      <c r="I1" s="63"/>
      <c r="J1" s="63"/>
      <c r="K1" s="63"/>
      <c r="L1" s="2"/>
      <c r="M1" s="3" t="s">
        <v>3</v>
      </c>
      <c r="N1" s="4">
        <f>ROUND(10*N3,0)</f>
        <v>37</v>
      </c>
      <c r="P1" s="51" t="s">
        <v>4</v>
      </c>
      <c r="Q1" s="5" t="s">
        <v>5</v>
      </c>
      <c r="R1" s="6" t="s">
        <v>6</v>
      </c>
      <c r="S1" t="s">
        <v>7</v>
      </c>
      <c r="T1" t="s">
        <v>8</v>
      </c>
      <c r="U1" s="7" t="s">
        <v>9</v>
      </c>
      <c r="V1" s="7" t="s">
        <v>10</v>
      </c>
      <c r="W1" s="8" t="s">
        <v>11</v>
      </c>
      <c r="X1" s="9" t="s">
        <v>12</v>
      </c>
      <c r="Y1" s="10">
        <v>0.8</v>
      </c>
    </row>
    <row r="2" spans="1:25" ht="13" x14ac:dyDescent="0.3">
      <c r="A2" s="11" t="s">
        <v>4</v>
      </c>
      <c r="B2" s="12" t="s">
        <v>13</v>
      </c>
      <c r="C2" s="11" t="s">
        <v>14</v>
      </c>
      <c r="D2" s="11" t="s">
        <v>15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19</v>
      </c>
      <c r="K2" s="14" t="s">
        <v>20</v>
      </c>
      <c r="L2" s="15"/>
      <c r="M2" s="16" t="s">
        <v>21</v>
      </c>
      <c r="N2" s="17">
        <f>SQRT(GETPIVOTDATA("Sum Radius^2",$P$1)/CHIINV(0.5,2*GETPIVOTDATA("Count of Group",$P$1)-2*COUNT(P:P)))</f>
        <v>3.3592151746783783</v>
      </c>
      <c r="P2">
        <v>1</v>
      </c>
      <c r="Q2" s="18">
        <v>137.80644676334532</v>
      </c>
      <c r="R2" s="19">
        <v>10</v>
      </c>
      <c r="S2" s="20">
        <v>2.5002522779687739</v>
      </c>
      <c r="T2" s="20">
        <v>3.0100774017724925</v>
      </c>
      <c r="U2" s="21">
        <f>2*R2-1</f>
        <v>19</v>
      </c>
      <c r="V2" s="21">
        <f>1/EXP(LN(SQRT(2/(U2-1))) + GAMMALN(U2/2) - GAMMALN((U2-1)/2))</f>
        <v>1.0139785697898209</v>
      </c>
      <c r="W2" s="22">
        <f>V2*SQRT(Q2/(2*(R2-1)))</f>
        <v>2.805609938311544</v>
      </c>
      <c r="X2" s="23">
        <f>SQRT(Q2/CHIINV((1-Y$1)/2,2*R2-2))</f>
        <v>2.3026951588786173</v>
      </c>
      <c r="Y2" s="23">
        <f>SQRT(Q2/CHIINV(0.5+Y$1/2,2*R2-2))</f>
        <v>3.5614034813649749</v>
      </c>
    </row>
    <row r="3" spans="1:25" ht="13" x14ac:dyDescent="0.3">
      <c r="A3" s="24">
        <v>1</v>
      </c>
      <c r="B3" s="25">
        <v>25</v>
      </c>
      <c r="C3" s="24">
        <v>4.3079999999999998</v>
      </c>
      <c r="D3" s="24">
        <v>7.2910000000000004</v>
      </c>
      <c r="E3" s="26">
        <f>(C3)/(0.01047*$B3)</f>
        <v>16.458452722063036</v>
      </c>
      <c r="F3" s="26">
        <f>(D3)/(0.01047*$B3)</f>
        <v>27.854823304680043</v>
      </c>
      <c r="G3" s="26">
        <f t="shared" ref="G3:H32" si="0">AVERAGEIF($A:$A,"="&amp;$A3,E:E)</f>
        <v>20.917669531996182</v>
      </c>
      <c r="H3" s="26">
        <f t="shared" si="0"/>
        <v>29.217574021012418</v>
      </c>
      <c r="I3" s="26">
        <f>E3-G3</f>
        <v>-4.459216809933146</v>
      </c>
      <c r="J3">
        <f>H3-F3</f>
        <v>1.3627507163323749</v>
      </c>
      <c r="K3" s="27">
        <f>POWER(E3-G3,2)+POWER(F3-H3,2)</f>
        <v>21.741704072854745</v>
      </c>
      <c r="M3" s="29" t="s">
        <v>22</v>
      </c>
      <c r="N3" s="30">
        <f>SQRT(GETPIVOTDATA("Sum Radius^2",$P$1)/CHIINV(0.9,2*GETPIVOTDATA("Count of Group",$P$1)-2*COUNT(P:P)))</f>
        <v>3.7426255878485226</v>
      </c>
      <c r="P3">
        <v>2</v>
      </c>
      <c r="Q3" s="18">
        <v>712.29133422549899</v>
      </c>
      <c r="R3" s="19">
        <v>30</v>
      </c>
      <c r="S3" s="20">
        <v>3.7313140053067482</v>
      </c>
      <c r="T3" s="20">
        <v>3.2617581056093932</v>
      </c>
      <c r="U3" s="21">
        <f>2*R3-1</f>
        <v>59</v>
      </c>
      <c r="V3" s="21">
        <f>1/EXP(LN(SQRT(2/(U3-1))) + GAMMALN(U3/2) - GAMMALN((U3-1)/2))</f>
        <v>1.0043194333267089</v>
      </c>
      <c r="W3" s="22">
        <f>V3*SQRT(Q3/(2*(R3-1)))</f>
        <v>3.5195464383993249</v>
      </c>
      <c r="X3" s="23">
        <f>SQRT(Q3/CHIINV((1-Y$1)/2,2*R3-2))</f>
        <v>3.1418181080147445</v>
      </c>
      <c r="Y3" s="23">
        <f>SQRT(Q3/CHIINV(0.5+Y$1/2,2*R3-2))</f>
        <v>3.9920351873587734</v>
      </c>
    </row>
    <row r="4" spans="1:25" ht="13" x14ac:dyDescent="0.3">
      <c r="A4" s="24">
        <v>1</v>
      </c>
      <c r="B4" s="25">
        <v>25</v>
      </c>
      <c r="C4" s="24">
        <v>4.7809999999999997</v>
      </c>
      <c r="D4" s="24">
        <v>7.1219999999999999</v>
      </c>
      <c r="E4" s="26">
        <f t="shared" ref="E4:F32" si="1">(C4)/(0.01047*$B4)</f>
        <v>18.265520534861508</v>
      </c>
      <c r="F4" s="26">
        <f t="shared" si="1"/>
        <v>27.209169054441261</v>
      </c>
      <c r="G4" s="26">
        <f t="shared" si="0"/>
        <v>20.917669531996182</v>
      </c>
      <c r="H4" s="26">
        <f t="shared" si="0"/>
        <v>29.217574021012418</v>
      </c>
      <c r="I4" s="26">
        <f t="shared" ref="I4:I42" si="2">E4-G4</f>
        <v>-2.6521489971346739</v>
      </c>
      <c r="J4">
        <f t="shared" ref="J4:J42" si="3">H4-F4</f>
        <v>2.0084049665711561</v>
      </c>
      <c r="K4" s="27">
        <f t="shared" ref="K4:K42" si="4">POWER(E4-G4,2)+POWER(F4-H4,2)</f>
        <v>11.067584812750143</v>
      </c>
      <c r="P4" s="31" t="s">
        <v>23</v>
      </c>
      <c r="Q4" s="32">
        <v>850.09778098884453</v>
      </c>
      <c r="R4" s="33">
        <v>40</v>
      </c>
      <c r="S4" s="20">
        <v>3.4344401068764627</v>
      </c>
      <c r="T4" s="20">
        <v>3.1625938961542865</v>
      </c>
      <c r="U4" s="36">
        <f>2*R4+1-2*COUNT(P:P)</f>
        <v>77</v>
      </c>
      <c r="V4" s="21">
        <f>1/EXP(LN(SQRT(2/(U4-1))) + GAMMALN(U4/2) - GAMMALN((U4-1)/2))</f>
        <v>1.0032947947291553</v>
      </c>
      <c r="W4" s="37">
        <f>V4*SQRT(Q4/(2*(R4-COUNT(P:P))))</f>
        <v>3.3554919726117842</v>
      </c>
      <c r="X4" s="38">
        <f>SQRT(Q4/CHIINV((1-Y$1)/2,2*R4-2*COUNT(P:P)))</f>
        <v>3.0370271853265991</v>
      </c>
      <c r="Y4" s="39">
        <f>SQRT(Q4/CHIINV(0.5+Y$1/2,2*R4-2*COUNT(P:P)))</f>
        <v>3.7426255878485226</v>
      </c>
    </row>
    <row r="5" spans="1:25" ht="13" x14ac:dyDescent="0.3">
      <c r="A5" s="24">
        <v>1</v>
      </c>
      <c r="B5" s="25">
        <v>25</v>
      </c>
      <c r="C5" s="24">
        <v>5.2060000000000004</v>
      </c>
      <c r="D5" s="24">
        <v>7.4119999999999999</v>
      </c>
      <c r="E5" s="26">
        <f t="shared" si="1"/>
        <v>19.889207258834769</v>
      </c>
      <c r="F5" s="26">
        <f t="shared" si="1"/>
        <v>28.317096466093602</v>
      </c>
      <c r="G5" s="26">
        <f t="shared" si="0"/>
        <v>20.917669531996182</v>
      </c>
      <c r="H5" s="26">
        <f t="shared" si="0"/>
        <v>29.217574021012418</v>
      </c>
      <c r="I5" s="26">
        <f t="shared" si="2"/>
        <v>-1.0284622731614128</v>
      </c>
      <c r="J5">
        <f t="shared" si="3"/>
        <v>0.90047755491881531</v>
      </c>
      <c r="K5" s="27">
        <f t="shared" si="4"/>
        <v>1.8685944742289085</v>
      </c>
      <c r="M5" s="34" t="s">
        <v>24</v>
      </c>
      <c r="N5" s="35" t="s">
        <v>2</v>
      </c>
      <c r="R5"/>
      <c r="S5"/>
      <c r="T5"/>
      <c r="U5" s="36"/>
      <c r="V5" s="36"/>
      <c r="W5" s="37"/>
      <c r="X5" s="38"/>
      <c r="Y5" s="39"/>
    </row>
    <row r="6" spans="1:25" ht="13" x14ac:dyDescent="0.3">
      <c r="A6" s="24">
        <v>1</v>
      </c>
      <c r="B6" s="25">
        <v>25</v>
      </c>
      <c r="C6" s="24">
        <v>5.9420000000000002</v>
      </c>
      <c r="D6" s="24">
        <v>6.7640000000000002</v>
      </c>
      <c r="E6" s="26">
        <f t="shared" si="1"/>
        <v>22.701050620821398</v>
      </c>
      <c r="F6" s="26">
        <f t="shared" si="1"/>
        <v>25.841451766953202</v>
      </c>
      <c r="G6" s="26">
        <f t="shared" si="0"/>
        <v>20.917669531996182</v>
      </c>
      <c r="H6" s="26">
        <f t="shared" si="0"/>
        <v>29.217574021012418</v>
      </c>
      <c r="I6" s="26">
        <f t="shared" si="2"/>
        <v>1.783381088825216</v>
      </c>
      <c r="J6">
        <f t="shared" si="3"/>
        <v>3.3761222540592151</v>
      </c>
      <c r="K6" s="27">
        <f t="shared" si="4"/>
        <v>14.578649582333288</v>
      </c>
      <c r="M6" s="40">
        <f>1-EXP(-POWER(N6/$N$3,2)/2)</f>
        <v>3.5066227798693173E-2</v>
      </c>
      <c r="N6" s="41">
        <v>1</v>
      </c>
      <c r="R6" s="42"/>
      <c r="S6" s="55" t="s">
        <v>31</v>
      </c>
      <c r="T6" s="56">
        <f>AVERAGE(T9:T48)</f>
        <v>1036.8</v>
      </c>
      <c r="Y6" s="43"/>
    </row>
    <row r="7" spans="1:25" ht="13" x14ac:dyDescent="0.3">
      <c r="A7" s="24">
        <v>1</v>
      </c>
      <c r="B7" s="25">
        <v>25</v>
      </c>
      <c r="C7" s="24">
        <v>5.7469999999999999</v>
      </c>
      <c r="D7" s="24">
        <v>7.0270000000000001</v>
      </c>
      <c r="E7" s="26">
        <f t="shared" si="1"/>
        <v>21.95606494746896</v>
      </c>
      <c r="F7" s="26">
        <f t="shared" si="1"/>
        <v>26.846227316141359</v>
      </c>
      <c r="G7" s="26">
        <f t="shared" si="0"/>
        <v>20.917669531996182</v>
      </c>
      <c r="H7" s="26">
        <f t="shared" si="0"/>
        <v>29.217574021012418</v>
      </c>
      <c r="I7" s="26">
        <f t="shared" si="2"/>
        <v>1.0383954154727775</v>
      </c>
      <c r="J7">
        <f t="shared" si="3"/>
        <v>2.3713467048710584</v>
      </c>
      <c r="K7" s="27">
        <f t="shared" si="4"/>
        <v>6.7015502335777084</v>
      </c>
      <c r="M7" s="40">
        <f t="shared" ref="M7:M8" si="5">1-EXP(-POWER(N7/$N$3,2)/2)</f>
        <v>9.8018158450423942E-2</v>
      </c>
      <c r="N7" s="41">
        <v>1.7</v>
      </c>
      <c r="R7" s="42"/>
      <c r="S7" s="55" t="s">
        <v>32</v>
      </c>
      <c r="T7" s="57">
        <f>STDEV(T9:T48)</f>
        <v>14.592235378218561</v>
      </c>
      <c r="U7" s="44"/>
      <c r="V7" s="44"/>
      <c r="W7" s="44"/>
      <c r="X7" s="44"/>
      <c r="Y7" s="45"/>
    </row>
    <row r="8" spans="1:25" ht="13" x14ac:dyDescent="0.3">
      <c r="A8" s="24">
        <v>1</v>
      </c>
      <c r="B8" s="25">
        <v>25</v>
      </c>
      <c r="C8" s="24">
        <v>6.5640000000000001</v>
      </c>
      <c r="D8" s="24">
        <v>8.0670000000000002</v>
      </c>
      <c r="E8" s="26">
        <f t="shared" si="1"/>
        <v>25.077363896848141</v>
      </c>
      <c r="F8" s="26">
        <f t="shared" si="1"/>
        <v>30.819484240687682</v>
      </c>
      <c r="G8" s="26">
        <f t="shared" si="0"/>
        <v>20.917669531996182</v>
      </c>
      <c r="H8" s="26">
        <f t="shared" si="0"/>
        <v>29.217574021012418</v>
      </c>
      <c r="I8" s="26">
        <f t="shared" si="2"/>
        <v>4.1596943648519584</v>
      </c>
      <c r="J8">
        <f t="shared" si="3"/>
        <v>-1.6019102196752648</v>
      </c>
      <c r="K8" s="27">
        <f t="shared" si="4"/>
        <v>19.869173560881194</v>
      </c>
      <c r="M8" s="40">
        <f t="shared" si="5"/>
        <v>0.2747669942888199</v>
      </c>
      <c r="N8" s="41">
        <v>3</v>
      </c>
      <c r="S8" s="53" t="s">
        <v>29</v>
      </c>
      <c r="T8" s="54" t="s">
        <v>30</v>
      </c>
    </row>
    <row r="9" spans="1:25" x14ac:dyDescent="0.25">
      <c r="A9" s="24">
        <v>1</v>
      </c>
      <c r="B9" s="25">
        <v>25</v>
      </c>
      <c r="C9" s="24">
        <v>5.774</v>
      </c>
      <c r="D9" s="24">
        <v>8.5459999999999994</v>
      </c>
      <c r="E9" s="26">
        <f t="shared" si="1"/>
        <v>22.059216809933144</v>
      </c>
      <c r="F9" s="26">
        <f t="shared" si="1"/>
        <v>32.649474689589304</v>
      </c>
      <c r="G9" s="26">
        <f t="shared" si="0"/>
        <v>20.917669531996182</v>
      </c>
      <c r="H9" s="26">
        <f t="shared" si="0"/>
        <v>29.217574021012418</v>
      </c>
      <c r="I9" s="26">
        <f t="shared" si="2"/>
        <v>1.1415472779369615</v>
      </c>
      <c r="J9">
        <f t="shared" si="3"/>
        <v>-3.4319006685768869</v>
      </c>
      <c r="K9" s="27">
        <f t="shared" si="4"/>
        <v>13.08107238674377</v>
      </c>
      <c r="M9" s="29" t="s">
        <v>25</v>
      </c>
      <c r="N9" s="47">
        <f>N3*SQRT(LN(4))</f>
        <v>4.4066048776557203</v>
      </c>
      <c r="S9">
        <v>30</v>
      </c>
      <c r="T9">
        <v>1043</v>
      </c>
    </row>
    <row r="10" spans="1:25" x14ac:dyDescent="0.25">
      <c r="A10" s="24">
        <v>1</v>
      </c>
      <c r="B10" s="25">
        <v>25</v>
      </c>
      <c r="C10" s="24">
        <v>5.0709999999999997</v>
      </c>
      <c r="D10" s="24">
        <v>8.1210000000000004</v>
      </c>
      <c r="E10" s="26">
        <f t="shared" si="1"/>
        <v>19.373447946513849</v>
      </c>
      <c r="F10" s="26">
        <f t="shared" si="1"/>
        <v>31.02578796561605</v>
      </c>
      <c r="G10" s="26">
        <f t="shared" si="0"/>
        <v>20.917669531996182</v>
      </c>
      <c r="H10" s="26">
        <f t="shared" si="0"/>
        <v>29.217574021012418</v>
      </c>
      <c r="I10" s="26">
        <f t="shared" si="2"/>
        <v>-1.5442215854823331</v>
      </c>
      <c r="J10">
        <f t="shared" si="3"/>
        <v>-1.8082139446036329</v>
      </c>
      <c r="K10" s="27">
        <f t="shared" si="4"/>
        <v>5.6542579745286012</v>
      </c>
      <c r="S10">
        <v>29</v>
      </c>
      <c r="T10">
        <v>1038</v>
      </c>
    </row>
    <row r="11" spans="1:25" x14ac:dyDescent="0.25">
      <c r="A11" s="24">
        <v>1</v>
      </c>
      <c r="B11" s="25">
        <v>25</v>
      </c>
      <c r="C11" s="24">
        <v>5.43</v>
      </c>
      <c r="D11" s="24">
        <v>9.1609999999999996</v>
      </c>
      <c r="E11" s="26">
        <f t="shared" si="1"/>
        <v>20.744985673352435</v>
      </c>
      <c r="F11" s="26">
        <f t="shared" si="1"/>
        <v>34.999044890162367</v>
      </c>
      <c r="G11" s="26">
        <f t="shared" si="0"/>
        <v>20.917669531996182</v>
      </c>
      <c r="H11" s="26">
        <f t="shared" si="0"/>
        <v>29.217574021012418</v>
      </c>
      <c r="I11" s="26">
        <f t="shared" si="2"/>
        <v>-0.17268385864374736</v>
      </c>
      <c r="J11">
        <f t="shared" si="3"/>
        <v>-5.781470869149949</v>
      </c>
      <c r="K11" s="27">
        <f t="shared" si="4"/>
        <v>33.45522512586556</v>
      </c>
      <c r="S11">
        <v>28</v>
      </c>
      <c r="T11">
        <v>1035</v>
      </c>
    </row>
    <row r="12" spans="1:25" x14ac:dyDescent="0.25">
      <c r="A12" s="24">
        <v>1</v>
      </c>
      <c r="B12" s="25">
        <v>25</v>
      </c>
      <c r="C12" s="48">
        <v>5.9290000000000003</v>
      </c>
      <c r="D12" s="48">
        <v>6.9660000000000002</v>
      </c>
      <c r="E12" s="49">
        <f t="shared" si="1"/>
        <v>22.651384909264568</v>
      </c>
      <c r="F12" s="49">
        <f t="shared" si="1"/>
        <v>26.613180515759314</v>
      </c>
      <c r="G12" s="49">
        <f t="shared" si="0"/>
        <v>20.917669531996182</v>
      </c>
      <c r="H12" s="49">
        <f t="shared" si="0"/>
        <v>29.217574021012418</v>
      </c>
      <c r="I12" s="49">
        <f t="shared" si="2"/>
        <v>1.7337153772683855</v>
      </c>
      <c r="J12">
        <f t="shared" si="3"/>
        <v>2.6043935052531033</v>
      </c>
      <c r="K12" s="49">
        <f t="shared" si="4"/>
        <v>9.7886345395814072</v>
      </c>
      <c r="S12">
        <v>27</v>
      </c>
      <c r="T12">
        <v>1043</v>
      </c>
    </row>
    <row r="13" spans="1:25" x14ac:dyDescent="0.25">
      <c r="A13" s="24">
        <v>2</v>
      </c>
      <c r="B13" s="25">
        <v>25</v>
      </c>
      <c r="C13" s="24">
        <v>1.4750000000000001</v>
      </c>
      <c r="D13" s="24">
        <v>3.7770000000000001</v>
      </c>
      <c r="E13" s="26">
        <f t="shared" si="1"/>
        <v>5.6351480420248334</v>
      </c>
      <c r="F13" s="26">
        <f t="shared" si="1"/>
        <v>14.4297994269341</v>
      </c>
      <c r="G13" s="26">
        <f t="shared" si="0"/>
        <v>16.485195797516713</v>
      </c>
      <c r="H13" s="26">
        <f t="shared" si="0"/>
        <v>14.774021012416428</v>
      </c>
      <c r="I13" s="26">
        <f t="shared" si="2"/>
        <v>-10.850047755491879</v>
      </c>
      <c r="J13">
        <f t="shared" si="3"/>
        <v>0.34422158548232851</v>
      </c>
      <c r="K13" s="27">
        <f t="shared" si="4"/>
        <v>117.84202479636632</v>
      </c>
      <c r="S13">
        <v>26</v>
      </c>
      <c r="T13">
        <v>1044</v>
      </c>
    </row>
    <row r="14" spans="1:25" x14ac:dyDescent="0.25">
      <c r="A14" s="24">
        <v>2</v>
      </c>
      <c r="B14" s="25">
        <v>25</v>
      </c>
      <c r="C14" s="24">
        <v>1.9890000000000001</v>
      </c>
      <c r="D14" s="24">
        <v>4.9669999999999996</v>
      </c>
      <c r="E14" s="26">
        <f t="shared" si="1"/>
        <v>7.5988538681948432</v>
      </c>
      <c r="F14" s="26">
        <f t="shared" si="1"/>
        <v>18.976122254059216</v>
      </c>
      <c r="G14" s="26">
        <f t="shared" si="0"/>
        <v>16.485195797516713</v>
      </c>
      <c r="H14" s="26">
        <f t="shared" si="0"/>
        <v>14.774021012416428</v>
      </c>
      <c r="I14" s="26">
        <f t="shared" si="2"/>
        <v>-8.8863419293218691</v>
      </c>
      <c r="J14">
        <f t="shared" si="3"/>
        <v>-4.2021012416427883</v>
      </c>
      <c r="K14" s="27">
        <f t="shared" si="4"/>
        <v>96.624727729839776</v>
      </c>
      <c r="S14">
        <v>25</v>
      </c>
      <c r="T14">
        <v>1002</v>
      </c>
    </row>
    <row r="15" spans="1:25" x14ac:dyDescent="0.25">
      <c r="A15" s="24">
        <v>2</v>
      </c>
      <c r="B15" s="25">
        <v>25</v>
      </c>
      <c r="C15" s="24">
        <v>3.4550000000000001</v>
      </c>
      <c r="D15" s="24">
        <v>4.9669999999999996</v>
      </c>
      <c r="E15" s="26">
        <f t="shared" si="1"/>
        <v>13.199617956064948</v>
      </c>
      <c r="F15" s="26">
        <f t="shared" si="1"/>
        <v>18.976122254059216</v>
      </c>
      <c r="G15" s="26">
        <f t="shared" si="0"/>
        <v>16.485195797516713</v>
      </c>
      <c r="H15" s="26">
        <f t="shared" si="0"/>
        <v>14.774021012416428</v>
      </c>
      <c r="I15" s="26">
        <f t="shared" si="2"/>
        <v>-3.2855778414517651</v>
      </c>
      <c r="J15">
        <f t="shared" si="3"/>
        <v>-4.2021012416427883</v>
      </c>
      <c r="K15" s="27">
        <f t="shared" si="4"/>
        <v>28.452676597254701</v>
      </c>
      <c r="S15">
        <v>24</v>
      </c>
      <c r="T15">
        <v>1053</v>
      </c>
    </row>
    <row r="16" spans="1:25" x14ac:dyDescent="0.25">
      <c r="A16" s="24">
        <v>2</v>
      </c>
      <c r="B16" s="25">
        <v>25</v>
      </c>
      <c r="C16" s="24">
        <v>3.73</v>
      </c>
      <c r="D16" s="24">
        <v>4.8239999999999998</v>
      </c>
      <c r="E16" s="26">
        <f t="shared" si="1"/>
        <v>14.250238777459408</v>
      </c>
      <c r="F16" s="26">
        <f t="shared" si="1"/>
        <v>18.4297994269341</v>
      </c>
      <c r="G16" s="26">
        <f t="shared" si="0"/>
        <v>16.485195797516713</v>
      </c>
      <c r="H16" s="26">
        <f t="shared" si="0"/>
        <v>14.774021012416428</v>
      </c>
      <c r="I16" s="26">
        <f t="shared" si="2"/>
        <v>-2.2349570200573048</v>
      </c>
      <c r="J16">
        <f t="shared" si="3"/>
        <v>-3.6557784145176715</v>
      </c>
      <c r="K16" s="27">
        <f t="shared" si="4"/>
        <v>18.359748697556768</v>
      </c>
      <c r="S16">
        <v>23</v>
      </c>
      <c r="T16">
        <v>1044</v>
      </c>
    </row>
    <row r="17" spans="1:20" x14ac:dyDescent="0.25">
      <c r="A17" s="24">
        <v>2</v>
      </c>
      <c r="B17" s="25">
        <v>25</v>
      </c>
      <c r="C17" s="24">
        <v>3.6360000000000001</v>
      </c>
      <c r="D17" s="24">
        <v>4.5670000000000002</v>
      </c>
      <c r="E17" s="26">
        <f t="shared" si="1"/>
        <v>13.891117478510029</v>
      </c>
      <c r="F17" s="26">
        <f t="shared" si="1"/>
        <v>17.447946513849093</v>
      </c>
      <c r="G17" s="26">
        <f t="shared" si="0"/>
        <v>16.485195797516713</v>
      </c>
      <c r="H17" s="26">
        <f t="shared" si="0"/>
        <v>14.774021012416428</v>
      </c>
      <c r="I17" s="26">
        <f t="shared" si="2"/>
        <v>-2.5940783190066838</v>
      </c>
      <c r="J17">
        <f t="shared" si="3"/>
        <v>-2.6739255014326648</v>
      </c>
      <c r="K17" s="27">
        <f t="shared" si="4"/>
        <v>13.87911991235247</v>
      </c>
      <c r="S17">
        <v>22</v>
      </c>
      <c r="T17">
        <v>1036</v>
      </c>
    </row>
    <row r="18" spans="1:20" x14ac:dyDescent="0.25">
      <c r="A18" s="24">
        <v>2</v>
      </c>
      <c r="B18" s="25">
        <v>25</v>
      </c>
      <c r="C18" s="24">
        <v>3.5880000000000001</v>
      </c>
      <c r="D18" s="24">
        <v>4.12</v>
      </c>
      <c r="E18" s="26">
        <f t="shared" si="1"/>
        <v>13.707736389684815</v>
      </c>
      <c r="F18" s="26">
        <f t="shared" si="1"/>
        <v>15.74021012416428</v>
      </c>
      <c r="G18" s="26">
        <f t="shared" si="0"/>
        <v>16.485195797516713</v>
      </c>
      <c r="H18" s="26">
        <f t="shared" si="0"/>
        <v>14.774021012416428</v>
      </c>
      <c r="I18" s="26">
        <f t="shared" si="2"/>
        <v>-2.7774594078318984</v>
      </c>
      <c r="J18">
        <f t="shared" si="3"/>
        <v>-0.96618911174785183</v>
      </c>
      <c r="K18" s="27">
        <f t="shared" si="4"/>
        <v>8.6478021618140222</v>
      </c>
      <c r="S18">
        <v>21</v>
      </c>
      <c r="T18">
        <v>1057</v>
      </c>
    </row>
    <row r="19" spans="1:20" x14ac:dyDescent="0.25">
      <c r="A19" s="24">
        <v>2</v>
      </c>
      <c r="B19" s="25">
        <v>25</v>
      </c>
      <c r="C19" s="24">
        <v>5.6820000000000004</v>
      </c>
      <c r="D19" s="24">
        <v>4.6150000000000002</v>
      </c>
      <c r="E19" s="26">
        <f t="shared" si="1"/>
        <v>21.707736389684818</v>
      </c>
      <c r="F19" s="26">
        <f t="shared" si="1"/>
        <v>17.631327602674311</v>
      </c>
      <c r="G19" s="26">
        <f t="shared" si="0"/>
        <v>16.485195797516713</v>
      </c>
      <c r="H19" s="26">
        <f t="shared" si="0"/>
        <v>14.774021012416428</v>
      </c>
      <c r="I19" s="26">
        <f t="shared" si="2"/>
        <v>5.2225405921681052</v>
      </c>
      <c r="J19">
        <f t="shared" si="3"/>
        <v>-2.8573065902578829</v>
      </c>
      <c r="K19" s="27">
        <f t="shared" si="4"/>
        <v>35.439131187574716</v>
      </c>
      <c r="S19">
        <v>20</v>
      </c>
      <c r="T19">
        <v>1042</v>
      </c>
    </row>
    <row r="20" spans="1:20" x14ac:dyDescent="0.25">
      <c r="A20" s="24">
        <v>2</v>
      </c>
      <c r="B20" s="25">
        <v>25</v>
      </c>
      <c r="C20" s="24">
        <v>5.4160000000000004</v>
      </c>
      <c r="D20" s="24">
        <v>4.6520000000000001</v>
      </c>
      <c r="E20" s="26">
        <f t="shared" si="1"/>
        <v>20.691499522445085</v>
      </c>
      <c r="F20" s="26">
        <f t="shared" si="1"/>
        <v>17.772683858643745</v>
      </c>
      <c r="G20" s="26">
        <f t="shared" si="0"/>
        <v>16.485195797516713</v>
      </c>
      <c r="H20" s="26">
        <f t="shared" si="0"/>
        <v>14.774021012416428</v>
      </c>
      <c r="I20" s="26">
        <f t="shared" si="2"/>
        <v>4.2063037249283717</v>
      </c>
      <c r="J20">
        <f t="shared" si="3"/>
        <v>-2.998662846227317</v>
      </c>
      <c r="K20" s="27">
        <f t="shared" si="4"/>
        <v>26.684969891690407</v>
      </c>
      <c r="S20">
        <v>19</v>
      </c>
      <c r="T20">
        <v>1055</v>
      </c>
    </row>
    <row r="21" spans="1:20" x14ac:dyDescent="0.25">
      <c r="A21" s="24">
        <v>2</v>
      </c>
      <c r="B21" s="25">
        <v>25</v>
      </c>
      <c r="C21" s="24">
        <v>4.53</v>
      </c>
      <c r="D21" s="24">
        <v>4.9189999999999996</v>
      </c>
      <c r="E21" s="26">
        <f t="shared" si="1"/>
        <v>17.306590257879659</v>
      </c>
      <c r="F21" s="26">
        <f t="shared" si="1"/>
        <v>18.792741165234002</v>
      </c>
      <c r="G21" s="26">
        <f t="shared" si="0"/>
        <v>16.485195797516713</v>
      </c>
      <c r="H21" s="26">
        <f t="shared" si="0"/>
        <v>14.774021012416428</v>
      </c>
      <c r="I21" s="26">
        <f t="shared" si="2"/>
        <v>0.82139446036294572</v>
      </c>
      <c r="J21">
        <f t="shared" si="3"/>
        <v>-4.0187201528175738</v>
      </c>
      <c r="K21" s="27">
        <f t="shared" si="4"/>
        <v>16.824800526177036</v>
      </c>
      <c r="S21">
        <v>18</v>
      </c>
      <c r="T21">
        <v>1040</v>
      </c>
    </row>
    <row r="22" spans="1:20" x14ac:dyDescent="0.25">
      <c r="A22" s="24">
        <v>2</v>
      </c>
      <c r="B22" s="25">
        <v>25</v>
      </c>
      <c r="C22" s="48">
        <v>4.4249999999999998</v>
      </c>
      <c r="D22" s="48">
        <v>5.0430000000000001</v>
      </c>
      <c r="E22" s="26">
        <f t="shared" si="1"/>
        <v>16.905444126074499</v>
      </c>
      <c r="F22" s="26">
        <f t="shared" si="1"/>
        <v>19.266475644699142</v>
      </c>
      <c r="G22" s="26">
        <f t="shared" si="0"/>
        <v>16.485195797516713</v>
      </c>
      <c r="H22" s="26">
        <f t="shared" si="0"/>
        <v>14.774021012416428</v>
      </c>
      <c r="I22" s="26">
        <f t="shared" si="2"/>
        <v>0.42024832855778627</v>
      </c>
      <c r="J22">
        <f t="shared" si="3"/>
        <v>-4.4924546322827137</v>
      </c>
      <c r="K22" s="27">
        <f t="shared" si="4"/>
        <v>20.358757280774025</v>
      </c>
      <c r="S22">
        <v>17</v>
      </c>
      <c r="T22">
        <v>1021</v>
      </c>
    </row>
    <row r="23" spans="1:20" x14ac:dyDescent="0.25">
      <c r="A23" s="24">
        <v>2</v>
      </c>
      <c r="B23" s="25">
        <v>25</v>
      </c>
      <c r="C23" s="24">
        <v>4.1970000000000001</v>
      </c>
      <c r="D23" s="24">
        <v>4.7480000000000002</v>
      </c>
      <c r="E23" s="26">
        <f t="shared" si="1"/>
        <v>16.03438395415473</v>
      </c>
      <c r="F23" s="26">
        <f t="shared" si="1"/>
        <v>18.139446036294174</v>
      </c>
      <c r="G23" s="26">
        <f t="shared" si="0"/>
        <v>16.485195797516713</v>
      </c>
      <c r="H23" s="26">
        <f t="shared" si="0"/>
        <v>14.774021012416428</v>
      </c>
      <c r="I23" s="26">
        <f t="shared" si="2"/>
        <v>-0.45081184336198277</v>
      </c>
      <c r="J23">
        <f t="shared" si="3"/>
        <v>-3.3654250238777461</v>
      </c>
      <c r="K23" s="27">
        <f t="shared" si="4"/>
        <v>11.529316909457958</v>
      </c>
      <c r="S23">
        <v>16</v>
      </c>
      <c r="T23">
        <v>1017</v>
      </c>
    </row>
    <row r="24" spans="1:20" x14ac:dyDescent="0.25">
      <c r="A24" s="24">
        <v>2</v>
      </c>
      <c r="B24" s="25">
        <v>25</v>
      </c>
      <c r="C24" s="24">
        <v>4.1210000000000004</v>
      </c>
      <c r="D24" s="24">
        <v>4.5670000000000002</v>
      </c>
      <c r="E24" s="26">
        <f t="shared" si="1"/>
        <v>15.744030563514807</v>
      </c>
      <c r="F24" s="26">
        <f t="shared" si="1"/>
        <v>17.447946513849093</v>
      </c>
      <c r="G24" s="26">
        <f t="shared" si="0"/>
        <v>16.485195797516713</v>
      </c>
      <c r="H24" s="26">
        <f t="shared" si="0"/>
        <v>14.774021012416428</v>
      </c>
      <c r="I24" s="26">
        <f t="shared" si="2"/>
        <v>-0.74116523400190637</v>
      </c>
      <c r="J24">
        <f t="shared" si="3"/>
        <v>-2.6739255014326648</v>
      </c>
      <c r="K24" s="27">
        <f t="shared" si="4"/>
        <v>7.6992034913050285</v>
      </c>
      <c r="S24">
        <v>15</v>
      </c>
      <c r="T24">
        <v>1010</v>
      </c>
    </row>
    <row r="25" spans="1:20" x14ac:dyDescent="0.25">
      <c r="A25" s="24">
        <v>2</v>
      </c>
      <c r="B25" s="25">
        <v>25</v>
      </c>
      <c r="C25" s="24">
        <v>4.3869999999999996</v>
      </c>
      <c r="D25" s="24">
        <v>4.3479999999999999</v>
      </c>
      <c r="E25" s="26">
        <f t="shared" si="1"/>
        <v>16.760267430754535</v>
      </c>
      <c r="F25" s="26">
        <f t="shared" si="1"/>
        <v>16.611270296084051</v>
      </c>
      <c r="G25" s="26">
        <f t="shared" si="0"/>
        <v>16.485195797516713</v>
      </c>
      <c r="H25" s="26">
        <f t="shared" si="0"/>
        <v>14.774021012416428</v>
      </c>
      <c r="I25" s="26">
        <f t="shared" si="2"/>
        <v>0.2750716332378218</v>
      </c>
      <c r="J25">
        <f t="shared" si="3"/>
        <v>-1.8372492836676226</v>
      </c>
      <c r="K25" s="27">
        <f t="shared" si="4"/>
        <v>3.4511493337493149</v>
      </c>
      <c r="S25">
        <v>14</v>
      </c>
      <c r="T25">
        <v>1035</v>
      </c>
    </row>
    <row r="26" spans="1:20" x14ac:dyDescent="0.25">
      <c r="A26" s="24">
        <v>2</v>
      </c>
      <c r="B26" s="25">
        <v>25</v>
      </c>
      <c r="C26" s="24">
        <v>5.9669999999999996</v>
      </c>
      <c r="D26" s="24">
        <v>2.5590000000000002</v>
      </c>
      <c r="E26" s="26">
        <f t="shared" si="1"/>
        <v>22.796561604584529</v>
      </c>
      <c r="F26" s="26">
        <f t="shared" si="1"/>
        <v>9.7765042979942702</v>
      </c>
      <c r="G26" s="26">
        <f t="shared" si="0"/>
        <v>16.485195797516713</v>
      </c>
      <c r="H26" s="26">
        <f t="shared" si="0"/>
        <v>14.774021012416428</v>
      </c>
      <c r="I26" s="26">
        <f t="shared" si="2"/>
        <v>6.3113658070678156</v>
      </c>
      <c r="J26">
        <f t="shared" si="3"/>
        <v>4.9975167144221579</v>
      </c>
      <c r="K26" s="27">
        <f t="shared" si="4"/>
        <v>64.808511661553624</v>
      </c>
      <c r="S26">
        <v>13</v>
      </c>
      <c r="T26">
        <v>1056</v>
      </c>
    </row>
    <row r="27" spans="1:20" x14ac:dyDescent="0.25">
      <c r="A27" s="24">
        <v>2</v>
      </c>
      <c r="B27" s="25">
        <v>25</v>
      </c>
      <c r="C27" s="24">
        <v>5.9009999999999998</v>
      </c>
      <c r="D27" s="24">
        <v>2.9209999999999998</v>
      </c>
      <c r="E27" s="26">
        <f t="shared" si="1"/>
        <v>22.544412607449857</v>
      </c>
      <c r="F27" s="26">
        <f t="shared" si="1"/>
        <v>11.159503342884431</v>
      </c>
      <c r="G27" s="26">
        <f t="shared" si="0"/>
        <v>16.485195797516713</v>
      </c>
      <c r="H27" s="26">
        <f t="shared" si="0"/>
        <v>14.774021012416428</v>
      </c>
      <c r="I27" s="26">
        <f t="shared" si="2"/>
        <v>6.0592168099331438</v>
      </c>
      <c r="J27">
        <f t="shared" si="3"/>
        <v>3.6145176695319972</v>
      </c>
      <c r="K27" s="27">
        <f t="shared" si="4"/>
        <v>49.778846333135405</v>
      </c>
      <c r="S27">
        <v>12</v>
      </c>
      <c r="T27">
        <v>1018</v>
      </c>
    </row>
    <row r="28" spans="1:20" x14ac:dyDescent="0.25">
      <c r="A28" s="24">
        <v>2</v>
      </c>
      <c r="B28" s="25">
        <v>25</v>
      </c>
      <c r="C28" s="24">
        <v>5.282</v>
      </c>
      <c r="D28" s="24">
        <v>3.5870000000000002</v>
      </c>
      <c r="E28" s="26">
        <f t="shared" si="1"/>
        <v>20.179560649474691</v>
      </c>
      <c r="F28" s="26">
        <f t="shared" si="1"/>
        <v>13.70391595033429</v>
      </c>
      <c r="G28" s="26">
        <f t="shared" si="0"/>
        <v>16.485195797516713</v>
      </c>
      <c r="H28" s="26">
        <f t="shared" si="0"/>
        <v>14.774021012416428</v>
      </c>
      <c r="I28" s="26">
        <f t="shared" si="2"/>
        <v>3.6943648519579781</v>
      </c>
      <c r="J28">
        <f t="shared" si="3"/>
        <v>1.0701050620821384</v>
      </c>
      <c r="K28" s="27">
        <f t="shared" si="4"/>
        <v>14.793456503276312</v>
      </c>
      <c r="S28">
        <v>11</v>
      </c>
      <c r="T28">
        <v>1028</v>
      </c>
    </row>
    <row r="29" spans="1:20" x14ac:dyDescent="0.25">
      <c r="A29" s="24">
        <v>2</v>
      </c>
      <c r="B29" s="25">
        <v>25</v>
      </c>
      <c r="C29" s="24">
        <v>5.1479999999999997</v>
      </c>
      <c r="D29" s="24">
        <v>3.911</v>
      </c>
      <c r="E29" s="26">
        <f t="shared" si="1"/>
        <v>19.667621776504298</v>
      </c>
      <c r="F29" s="26">
        <f t="shared" si="1"/>
        <v>14.94173829990449</v>
      </c>
      <c r="G29" s="26">
        <f t="shared" si="0"/>
        <v>16.485195797516713</v>
      </c>
      <c r="H29" s="26">
        <f t="shared" si="0"/>
        <v>14.774021012416428</v>
      </c>
      <c r="I29" s="26">
        <f t="shared" si="2"/>
        <v>3.1824259789875846</v>
      </c>
      <c r="J29">
        <f t="shared" si="3"/>
        <v>-0.16771728748806147</v>
      </c>
      <c r="K29" s="27">
        <f t="shared" si="4"/>
        <v>10.15596420025744</v>
      </c>
      <c r="S29">
        <v>10</v>
      </c>
      <c r="T29">
        <v>1071</v>
      </c>
    </row>
    <row r="30" spans="1:20" x14ac:dyDescent="0.25">
      <c r="A30" s="24">
        <v>2</v>
      </c>
      <c r="B30" s="25">
        <v>25</v>
      </c>
      <c r="C30" s="24">
        <v>4.806</v>
      </c>
      <c r="D30" s="24">
        <v>3.73</v>
      </c>
      <c r="E30" s="26">
        <f t="shared" si="1"/>
        <v>18.361031518624642</v>
      </c>
      <c r="F30" s="26">
        <f t="shared" si="1"/>
        <v>14.250238777459408</v>
      </c>
      <c r="G30" s="26">
        <f t="shared" si="0"/>
        <v>16.485195797516713</v>
      </c>
      <c r="H30" s="26">
        <f t="shared" si="0"/>
        <v>14.774021012416428</v>
      </c>
      <c r="I30" s="26">
        <f t="shared" si="2"/>
        <v>1.8758357211079293</v>
      </c>
      <c r="J30">
        <f t="shared" si="3"/>
        <v>0.52378223495701981</v>
      </c>
      <c r="K30" s="27">
        <f t="shared" si="4"/>
        <v>3.7931074822410755</v>
      </c>
      <c r="S30">
        <v>9</v>
      </c>
      <c r="T30">
        <v>1028</v>
      </c>
    </row>
    <row r="31" spans="1:20" x14ac:dyDescent="0.25">
      <c r="A31" s="24">
        <v>2</v>
      </c>
      <c r="B31" s="25">
        <v>25</v>
      </c>
      <c r="C31" s="24">
        <v>4.7300000000000004</v>
      </c>
      <c r="D31" s="24">
        <v>3.52</v>
      </c>
      <c r="E31" s="26">
        <f t="shared" si="1"/>
        <v>18.070678127984721</v>
      </c>
      <c r="F31" s="26">
        <f t="shared" si="1"/>
        <v>13.447946513849093</v>
      </c>
      <c r="G31" s="26">
        <f t="shared" si="0"/>
        <v>16.485195797516713</v>
      </c>
      <c r="H31" s="26">
        <f t="shared" si="0"/>
        <v>14.774021012416428</v>
      </c>
      <c r="I31" s="26">
        <f t="shared" si="2"/>
        <v>1.5854823304680075</v>
      </c>
      <c r="J31">
        <f t="shared" si="3"/>
        <v>1.3260744985673352</v>
      </c>
      <c r="K31" s="27">
        <f t="shared" si="4"/>
        <v>4.2722277959768729</v>
      </c>
      <c r="S31">
        <v>8</v>
      </c>
      <c r="T31">
        <v>1047</v>
      </c>
    </row>
    <row r="32" spans="1:20" x14ac:dyDescent="0.25">
      <c r="A32" s="24">
        <v>2</v>
      </c>
      <c r="B32" s="25">
        <v>25</v>
      </c>
      <c r="C32" s="24">
        <v>4.5110000000000001</v>
      </c>
      <c r="D32" s="24">
        <v>3.6059999999999999</v>
      </c>
      <c r="E32" s="26">
        <f t="shared" si="1"/>
        <v>17.234001910219678</v>
      </c>
      <c r="F32" s="26">
        <f t="shared" si="1"/>
        <v>13.77650429799427</v>
      </c>
      <c r="G32" s="26">
        <f t="shared" si="0"/>
        <v>16.485195797516713</v>
      </c>
      <c r="H32" s="26">
        <f t="shared" si="0"/>
        <v>14.774021012416428</v>
      </c>
      <c r="I32" s="26">
        <f t="shared" si="2"/>
        <v>0.74880611270296527</v>
      </c>
      <c r="J32">
        <f t="shared" si="3"/>
        <v>0.99751671442215795</v>
      </c>
      <c r="K32" s="27">
        <f t="shared" si="4"/>
        <v>1.5557501899729029</v>
      </c>
      <c r="S32">
        <v>7</v>
      </c>
      <c r="T32">
        <v>1063</v>
      </c>
    </row>
    <row r="33" spans="1:20" x14ac:dyDescent="0.25">
      <c r="A33" s="24">
        <v>2</v>
      </c>
      <c r="B33" s="25">
        <v>25</v>
      </c>
      <c r="C33">
        <v>4.3490000000000002</v>
      </c>
      <c r="D33">
        <v>3.6160000000000001</v>
      </c>
      <c r="E33" s="26">
        <f t="shared" ref="E33:F42" si="6">(C33)/(0.01047*$B33)</f>
        <v>16.615090735434578</v>
      </c>
      <c r="F33" s="26">
        <f t="shared" si="6"/>
        <v>13.814708691499524</v>
      </c>
      <c r="G33" s="26">
        <f t="shared" ref="G33:H42" si="7">AVERAGEIF($A:$A,"="&amp;$A33,E:E)</f>
        <v>16.485195797516713</v>
      </c>
      <c r="H33" s="26">
        <f t="shared" si="7"/>
        <v>14.774021012416428</v>
      </c>
      <c r="I33" s="26">
        <f t="shared" si="2"/>
        <v>0.12989493791786444</v>
      </c>
      <c r="J33">
        <f t="shared" si="3"/>
        <v>0.95931232091690433</v>
      </c>
      <c r="K33" s="27">
        <f t="shared" si="4"/>
        <v>0.93715282395966348</v>
      </c>
      <c r="S33">
        <v>6</v>
      </c>
      <c r="T33">
        <v>1033</v>
      </c>
    </row>
    <row r="34" spans="1:20" x14ac:dyDescent="0.25">
      <c r="A34" s="24">
        <v>2</v>
      </c>
      <c r="B34" s="25">
        <v>25</v>
      </c>
      <c r="C34">
        <v>3.9209999999999998</v>
      </c>
      <c r="D34">
        <v>3.4820000000000002</v>
      </c>
      <c r="E34" s="26">
        <f t="shared" si="6"/>
        <v>14.979942693409743</v>
      </c>
      <c r="F34" s="26">
        <f t="shared" si="6"/>
        <v>13.302769818529132</v>
      </c>
      <c r="G34" s="26">
        <f t="shared" si="7"/>
        <v>16.485195797516713</v>
      </c>
      <c r="H34" s="26">
        <f t="shared" si="7"/>
        <v>14.774021012416428</v>
      </c>
      <c r="I34" s="26">
        <f t="shared" si="2"/>
        <v>-1.5052531041069699</v>
      </c>
      <c r="J34">
        <f t="shared" si="3"/>
        <v>1.4712511938872961</v>
      </c>
      <c r="K34" s="27">
        <f t="shared" si="4"/>
        <v>4.4303669829384624</v>
      </c>
      <c r="S34">
        <v>5</v>
      </c>
      <c r="T34">
        <v>1033</v>
      </c>
    </row>
    <row r="35" spans="1:20" x14ac:dyDescent="0.25">
      <c r="A35" s="24">
        <v>2</v>
      </c>
      <c r="B35" s="25">
        <v>25</v>
      </c>
      <c r="C35">
        <v>4.3869999999999996</v>
      </c>
      <c r="D35">
        <v>3.206</v>
      </c>
      <c r="E35" s="26">
        <f t="shared" si="6"/>
        <v>16.760267430754535</v>
      </c>
      <c r="F35" s="26">
        <f t="shared" si="6"/>
        <v>12.248328557784145</v>
      </c>
      <c r="G35" s="26">
        <f t="shared" si="7"/>
        <v>16.485195797516713</v>
      </c>
      <c r="H35" s="26">
        <f t="shared" si="7"/>
        <v>14.774021012416428</v>
      </c>
      <c r="I35" s="26">
        <f t="shared" si="2"/>
        <v>0.2750716332378218</v>
      </c>
      <c r="J35">
        <f t="shared" si="3"/>
        <v>2.5256924546322832</v>
      </c>
      <c r="K35" s="27">
        <f t="shared" si="4"/>
        <v>6.4547867787985709</v>
      </c>
      <c r="S35">
        <v>4</v>
      </c>
      <c r="T35">
        <v>1034</v>
      </c>
    </row>
    <row r="36" spans="1:20" x14ac:dyDescent="0.25">
      <c r="A36" s="24">
        <v>2</v>
      </c>
      <c r="B36" s="25">
        <v>25</v>
      </c>
      <c r="C36">
        <v>4.9779999999999998</v>
      </c>
      <c r="D36">
        <v>3.1019999999999999</v>
      </c>
      <c r="E36" s="26">
        <f t="shared" si="6"/>
        <v>19.018147086914997</v>
      </c>
      <c r="F36" s="26">
        <f t="shared" si="6"/>
        <v>11.851002865329512</v>
      </c>
      <c r="G36" s="26">
        <f t="shared" si="7"/>
        <v>16.485195797516713</v>
      </c>
      <c r="H36" s="26">
        <f t="shared" si="7"/>
        <v>14.774021012416428</v>
      </c>
      <c r="I36" s="26">
        <f t="shared" si="2"/>
        <v>2.5329512893982837</v>
      </c>
      <c r="J36">
        <f t="shared" si="3"/>
        <v>2.9230181470869159</v>
      </c>
      <c r="K36" s="27">
        <f t="shared" si="4"/>
        <v>14.959877322663855</v>
      </c>
      <c r="S36">
        <v>3</v>
      </c>
      <c r="T36">
        <v>1045</v>
      </c>
    </row>
    <row r="37" spans="1:20" x14ac:dyDescent="0.25">
      <c r="A37" s="24">
        <v>2</v>
      </c>
      <c r="B37" s="25">
        <v>25</v>
      </c>
      <c r="C37">
        <v>4.1779999999999999</v>
      </c>
      <c r="D37">
        <v>2.7589999999999999</v>
      </c>
      <c r="E37" s="26">
        <f t="shared" si="6"/>
        <v>15.961795606494748</v>
      </c>
      <c r="F37" s="26">
        <f t="shared" si="6"/>
        <v>10.540592168099332</v>
      </c>
      <c r="G37" s="26">
        <f t="shared" si="7"/>
        <v>16.485195797516713</v>
      </c>
      <c r="H37" s="26">
        <f t="shared" si="7"/>
        <v>14.774021012416428</v>
      </c>
      <c r="I37" s="26">
        <f t="shared" si="2"/>
        <v>-0.523400191021965</v>
      </c>
      <c r="J37">
        <f t="shared" si="3"/>
        <v>4.2334288443170962</v>
      </c>
      <c r="K37" s="27">
        <f t="shared" si="4"/>
        <v>18.195867539857812</v>
      </c>
      <c r="S37">
        <v>2</v>
      </c>
      <c r="T37">
        <v>1059</v>
      </c>
    </row>
    <row r="38" spans="1:20" x14ac:dyDescent="0.25">
      <c r="A38" s="24">
        <v>2</v>
      </c>
      <c r="B38" s="25">
        <v>25</v>
      </c>
      <c r="C38">
        <v>4.2439999999999998</v>
      </c>
      <c r="D38">
        <v>2.6549999999999998</v>
      </c>
      <c r="E38" s="26">
        <f t="shared" si="6"/>
        <v>16.213944603629418</v>
      </c>
      <c r="F38" s="26">
        <f t="shared" si="6"/>
        <v>10.143266475644699</v>
      </c>
      <c r="G38" s="26">
        <f t="shared" si="7"/>
        <v>16.485195797516713</v>
      </c>
      <c r="H38" s="26">
        <f t="shared" si="7"/>
        <v>14.774021012416428</v>
      </c>
      <c r="I38" s="26">
        <f t="shared" si="2"/>
        <v>-0.27125119388729502</v>
      </c>
      <c r="J38">
        <f t="shared" si="3"/>
        <v>4.6307545367717289</v>
      </c>
      <c r="K38" s="27">
        <f t="shared" si="4"/>
        <v>21.517464790017232</v>
      </c>
      <c r="S38">
        <v>1</v>
      </c>
      <c r="T38">
        <v>1037</v>
      </c>
    </row>
    <row r="39" spans="1:20" x14ac:dyDescent="0.25">
      <c r="A39" s="24">
        <v>2</v>
      </c>
      <c r="B39" s="25">
        <v>25</v>
      </c>
      <c r="C39">
        <v>3.6549999999999998</v>
      </c>
      <c r="D39">
        <v>2.7589999999999999</v>
      </c>
      <c r="E39" s="26">
        <f t="shared" si="6"/>
        <v>13.96370582617001</v>
      </c>
      <c r="F39" s="26">
        <f t="shared" si="6"/>
        <v>10.540592168099332</v>
      </c>
      <c r="G39" s="26">
        <f t="shared" si="7"/>
        <v>16.485195797516713</v>
      </c>
      <c r="H39" s="26">
        <f t="shared" si="7"/>
        <v>14.774021012416428</v>
      </c>
      <c r="I39" s="26">
        <f t="shared" si="2"/>
        <v>-2.5214899713467034</v>
      </c>
      <c r="J39">
        <f t="shared" si="3"/>
        <v>4.2334288443170962</v>
      </c>
      <c r="K39" s="27">
        <f t="shared" si="4"/>
        <v>24.279831455497984</v>
      </c>
      <c r="S39">
        <v>10</v>
      </c>
      <c r="T39">
        <v>1033</v>
      </c>
    </row>
    <row r="40" spans="1:20" x14ac:dyDescent="0.25">
      <c r="A40" s="24">
        <v>2</v>
      </c>
      <c r="B40" s="25">
        <v>25</v>
      </c>
      <c r="C40">
        <v>4.3490000000000002</v>
      </c>
      <c r="D40">
        <v>2.1120000000000001</v>
      </c>
      <c r="E40" s="26">
        <f t="shared" si="6"/>
        <v>16.615090735434578</v>
      </c>
      <c r="F40" s="26">
        <f t="shared" si="6"/>
        <v>8.0687679083094572</v>
      </c>
      <c r="G40" s="26">
        <f t="shared" si="7"/>
        <v>16.485195797516713</v>
      </c>
      <c r="H40" s="26">
        <f t="shared" si="7"/>
        <v>14.774021012416428</v>
      </c>
      <c r="I40" s="26">
        <f t="shared" si="2"/>
        <v>0.12989493791786444</v>
      </c>
      <c r="J40">
        <f t="shared" si="3"/>
        <v>6.705253104106971</v>
      </c>
      <c r="K40" s="27">
        <f t="shared" si="4"/>
        <v>44.977291885032855</v>
      </c>
      <c r="S40">
        <v>9</v>
      </c>
      <c r="T40">
        <v>1036</v>
      </c>
    </row>
    <row r="41" spans="1:20" x14ac:dyDescent="0.25">
      <c r="A41" s="24">
        <v>2</v>
      </c>
      <c r="B41" s="25">
        <v>25</v>
      </c>
      <c r="C41">
        <v>3.702</v>
      </c>
      <c r="D41">
        <v>4.7960000000000003</v>
      </c>
      <c r="E41" s="26">
        <f t="shared" si="6"/>
        <v>14.143266475644699</v>
      </c>
      <c r="F41" s="26">
        <f t="shared" si="6"/>
        <v>18.322827125119392</v>
      </c>
      <c r="G41" s="26">
        <f t="shared" si="7"/>
        <v>16.485195797516713</v>
      </c>
      <c r="H41" s="26">
        <f t="shared" si="7"/>
        <v>14.774021012416428</v>
      </c>
      <c r="I41" s="26">
        <f t="shared" si="2"/>
        <v>-2.3419293218720139</v>
      </c>
      <c r="J41">
        <f t="shared" si="3"/>
        <v>-3.5488061127029642</v>
      </c>
      <c r="K41" s="27">
        <f t="shared" si="4"/>
        <v>18.078657774201833</v>
      </c>
      <c r="S41">
        <v>8</v>
      </c>
      <c r="T41">
        <v>1015</v>
      </c>
    </row>
    <row r="42" spans="1:20" x14ac:dyDescent="0.25">
      <c r="A42" s="24">
        <v>2</v>
      </c>
      <c r="B42" s="25">
        <v>25</v>
      </c>
      <c r="C42">
        <v>4.7110000000000003</v>
      </c>
      <c r="D42">
        <v>3.5779999999999998</v>
      </c>
      <c r="E42" s="26">
        <f t="shared" si="6"/>
        <v>17.99808978032474</v>
      </c>
      <c r="F42" s="26">
        <f t="shared" si="6"/>
        <v>13.669531996179561</v>
      </c>
      <c r="G42" s="26">
        <f t="shared" si="7"/>
        <v>16.485195797516713</v>
      </c>
      <c r="H42" s="26">
        <f t="shared" si="7"/>
        <v>14.774021012416428</v>
      </c>
      <c r="I42" s="26">
        <f t="shared" si="2"/>
        <v>1.512893982808027</v>
      </c>
      <c r="J42">
        <f t="shared" si="3"/>
        <v>1.104489016236867</v>
      </c>
      <c r="K42" s="27">
        <f t="shared" si="4"/>
        <v>3.508744190204617</v>
      </c>
      <c r="S42">
        <v>7</v>
      </c>
      <c r="T42">
        <v>1027</v>
      </c>
    </row>
    <row r="43" spans="1:20" x14ac:dyDescent="0.25">
      <c r="S43">
        <v>6</v>
      </c>
      <c r="T43">
        <v>1023</v>
      </c>
    </row>
    <row r="44" spans="1:20" x14ac:dyDescent="0.25">
      <c r="S44">
        <v>5</v>
      </c>
      <c r="T44">
        <v>1040</v>
      </c>
    </row>
    <row r="45" spans="1:20" x14ac:dyDescent="0.25">
      <c r="S45">
        <v>4</v>
      </c>
      <c r="T45">
        <v>1038</v>
      </c>
    </row>
    <row r="46" spans="1:20" x14ac:dyDescent="0.25">
      <c r="S46">
        <v>3</v>
      </c>
      <c r="T46">
        <v>1025</v>
      </c>
    </row>
    <row r="47" spans="1:20" x14ac:dyDescent="0.25">
      <c r="S47">
        <v>2</v>
      </c>
      <c r="T47">
        <v>1042</v>
      </c>
    </row>
    <row r="48" spans="1:20" x14ac:dyDescent="0.25">
      <c r="S48">
        <v>1</v>
      </c>
      <c r="T48">
        <v>1026</v>
      </c>
    </row>
  </sheetData>
  <mergeCells count="2">
    <mergeCell ref="C1:D1"/>
    <mergeCell ref="E1:K1"/>
  </mergeCell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RowHeight="12.5" x14ac:dyDescent="0.25"/>
  <cols>
    <col min="1" max="1" width="6.26953125" bestFit="1" customWidth="1"/>
    <col min="2" max="2" width="8.26953125" style="50" bestFit="1" customWidth="1"/>
    <col min="5" max="5" width="8.7265625" style="26"/>
    <col min="11" max="11" width="8.7265625" style="50"/>
    <col min="12" max="12" width="8.7265625" style="28"/>
    <col min="13" max="13" width="18.36328125" bestFit="1" customWidth="1"/>
    <col min="16" max="16" width="11.08984375" customWidth="1"/>
    <col min="17" max="17" width="10.90625" customWidth="1"/>
    <col min="18" max="18" width="11.54296875" style="46" customWidth="1"/>
    <col min="19" max="20" width="8.7265625" style="46" customWidth="1"/>
    <col min="21" max="22" width="8.7265625" style="21"/>
  </cols>
  <sheetData>
    <row r="1" spans="1:25" ht="13.5" thickBot="1" x14ac:dyDescent="0.35">
      <c r="B1" s="1" t="s">
        <v>0</v>
      </c>
      <c r="C1" s="60" t="s">
        <v>1</v>
      </c>
      <c r="D1" s="61"/>
      <c r="E1" s="62" t="s">
        <v>2</v>
      </c>
      <c r="F1" s="63"/>
      <c r="G1" s="63"/>
      <c r="H1" s="63"/>
      <c r="I1" s="63"/>
      <c r="J1" s="63"/>
      <c r="K1" s="63"/>
      <c r="L1" s="2"/>
      <c r="M1" s="3" t="s">
        <v>3</v>
      </c>
      <c r="N1" s="4">
        <f>ROUND(10*N3,0)</f>
        <v>27</v>
      </c>
      <c r="P1" s="51" t="s">
        <v>4</v>
      </c>
      <c r="Q1" s="5" t="s">
        <v>5</v>
      </c>
      <c r="R1" s="6" t="s">
        <v>6</v>
      </c>
      <c r="S1" t="s">
        <v>7</v>
      </c>
      <c r="T1" t="s">
        <v>8</v>
      </c>
      <c r="U1" s="7" t="s">
        <v>9</v>
      </c>
      <c r="V1" s="7" t="s">
        <v>10</v>
      </c>
      <c r="W1" s="8" t="s">
        <v>11</v>
      </c>
      <c r="X1" s="9" t="s">
        <v>12</v>
      </c>
      <c r="Y1" s="10">
        <v>0.8</v>
      </c>
    </row>
    <row r="2" spans="1:25" ht="13" x14ac:dyDescent="0.3">
      <c r="A2" s="11" t="s">
        <v>4</v>
      </c>
      <c r="B2" s="12" t="s">
        <v>13</v>
      </c>
      <c r="C2" s="11" t="s">
        <v>14</v>
      </c>
      <c r="D2" s="11" t="s">
        <v>15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19</v>
      </c>
      <c r="K2" s="14" t="s">
        <v>20</v>
      </c>
      <c r="L2" s="15"/>
      <c r="M2" s="16" t="s">
        <v>21</v>
      </c>
      <c r="N2" s="17">
        <f>SQRT(GETPIVOTDATA("Sum Radius^2",$P$1)/CHIINV(0.5,2*GETPIVOTDATA("Count of Group",$P$1)-2*COUNT(P:P)))</f>
        <v>2.3271418069254479</v>
      </c>
      <c r="P2">
        <v>1</v>
      </c>
      <c r="Q2" s="18">
        <v>256.34692946326834</v>
      </c>
      <c r="R2" s="19">
        <v>25</v>
      </c>
      <c r="S2" s="20">
        <v>2.0271487599894162</v>
      </c>
      <c r="T2" s="20">
        <v>2.5635502659091527</v>
      </c>
      <c r="U2" s="21">
        <f>2*R2-1</f>
        <v>49</v>
      </c>
      <c r="V2" s="21">
        <f>1/EXP(LN(SQRT(2/(U2-1))) + GAMMALN(U2/2) - GAMMALN((U2-1)/2))</f>
        <v>1.005221541749022</v>
      </c>
      <c r="W2" s="22">
        <f>V2*SQRT(Q2/(2*(R2-1)))</f>
        <v>2.3230321915482164</v>
      </c>
      <c r="X2" s="23">
        <f>SQRT(Q2/CHIINV((1-Y$1)/2,2*R2-2))</f>
        <v>2.0515488220148002</v>
      </c>
      <c r="Y2" s="23">
        <f>SQRT(Q2/CHIINV(0.5+Y$1/2,2*R2-2))</f>
        <v>2.6703602918460865</v>
      </c>
    </row>
    <row r="3" spans="1:25" ht="13" x14ac:dyDescent="0.3">
      <c r="A3" s="24">
        <v>1</v>
      </c>
      <c r="B3" s="25">
        <v>25</v>
      </c>
      <c r="C3" s="24">
        <v>3.9969999999999999</v>
      </c>
      <c r="D3" s="24">
        <v>4.8140000000000001</v>
      </c>
      <c r="E3" s="26">
        <f>(C3)/(0.01047*$B3)</f>
        <v>15.270296084049667</v>
      </c>
      <c r="F3" s="26">
        <f>(D3)/(0.01047*$B3)</f>
        <v>18.391595033428846</v>
      </c>
      <c r="G3" s="26">
        <f t="shared" ref="G3:H22" si="0">AVERAGEIF($A:$A,"="&amp;$A3,E:E)</f>
        <v>19.627583572110794</v>
      </c>
      <c r="H3" s="26">
        <f t="shared" si="0"/>
        <v>23.904336198662847</v>
      </c>
      <c r="I3" s="26">
        <f>E3-G3</f>
        <v>-4.357287488061127</v>
      </c>
      <c r="J3">
        <f>H3-F3</f>
        <v>5.5127411652340008</v>
      </c>
      <c r="K3" s="27">
        <f>POWER(E3-G3,2)+POWER(F3-H3,2)</f>
        <v>49.376269408479573</v>
      </c>
      <c r="M3" s="29" t="s">
        <v>22</v>
      </c>
      <c r="N3" s="30">
        <f>SQRT(GETPIVOTDATA("Sum Radius^2",$P$1)/CHIINV(0.9,2*GETPIVOTDATA("Count of Group",$P$1)-2*COUNT(P:P)))</f>
        <v>2.6703602918460865</v>
      </c>
      <c r="P3" s="31" t="s">
        <v>23</v>
      </c>
      <c r="Q3" s="32">
        <v>256.34692946326834</v>
      </c>
      <c r="R3" s="33">
        <v>25</v>
      </c>
      <c r="S3" s="20">
        <v>2.0271487599894162</v>
      </c>
      <c r="T3" s="20">
        <v>2.5635502659091527</v>
      </c>
      <c r="U3" s="21">
        <f>2*R3-1</f>
        <v>49</v>
      </c>
      <c r="V3" s="21">
        <f>1/EXP(LN(SQRT(2/(U3-1))) + GAMMALN(U3/2) - GAMMALN((U3-1)/2))</f>
        <v>1.005221541749022</v>
      </c>
      <c r="W3" s="22">
        <f>V3*SQRT(Q3/(2*(R3-1)))</f>
        <v>2.3230321915482164</v>
      </c>
      <c r="X3" s="23">
        <f>SQRT(Q3/CHIINV((1-Y$1)/2,2*R3-2))</f>
        <v>2.0515488220148002</v>
      </c>
      <c r="Y3" s="23">
        <f>SQRT(Q3/CHIINV(0.5+Y$1/2,2*R3-2))</f>
        <v>2.6703602918460865</v>
      </c>
    </row>
    <row r="4" spans="1:25" ht="13" x14ac:dyDescent="0.3">
      <c r="A4" s="24">
        <v>1</v>
      </c>
      <c r="B4" s="25">
        <v>25</v>
      </c>
      <c r="C4" s="24">
        <v>5.4539999999999997</v>
      </c>
      <c r="D4" s="24">
        <v>5.109</v>
      </c>
      <c r="E4" s="26">
        <f t="shared" ref="E4:F22" si="1">(C4)/(0.01047*$B4)</f>
        <v>20.836676217765042</v>
      </c>
      <c r="F4" s="26">
        <f t="shared" si="1"/>
        <v>19.518624641833814</v>
      </c>
      <c r="G4" s="26">
        <f t="shared" si="0"/>
        <v>19.627583572110794</v>
      </c>
      <c r="H4" s="26">
        <f t="shared" si="0"/>
        <v>23.904336198662847</v>
      </c>
      <c r="I4" s="26">
        <f t="shared" ref="I4:I22" si="2">E4-G4</f>
        <v>1.2090926456542483</v>
      </c>
      <c r="J4">
        <f t="shared" ref="J4:J22" si="3">H4-F4</f>
        <v>4.3857115568290332</v>
      </c>
      <c r="K4" s="27">
        <f t="shared" ref="K4:K22" si="4">POWER(E4-G4,2)+POWER(F4-H4,2)</f>
        <v>20.696370885478935</v>
      </c>
      <c r="R4"/>
      <c r="S4"/>
      <c r="T4"/>
      <c r="W4" s="22"/>
      <c r="X4" s="23"/>
      <c r="Y4" s="23"/>
    </row>
    <row r="5" spans="1:25" ht="13" x14ac:dyDescent="0.3">
      <c r="A5" s="24">
        <v>1</v>
      </c>
      <c r="B5" s="25">
        <v>25</v>
      </c>
      <c r="C5" s="24">
        <v>4.8819999999999997</v>
      </c>
      <c r="D5" s="24">
        <v>5.3659999999999997</v>
      </c>
      <c r="E5" s="26">
        <f t="shared" si="1"/>
        <v>18.651384909264564</v>
      </c>
      <c r="F5" s="26">
        <f t="shared" si="1"/>
        <v>20.500477554918817</v>
      </c>
      <c r="G5" s="26">
        <f t="shared" si="0"/>
        <v>19.627583572110794</v>
      </c>
      <c r="H5" s="26">
        <f t="shared" si="0"/>
        <v>23.904336198662847</v>
      </c>
      <c r="I5" s="26">
        <f t="shared" si="2"/>
        <v>-0.97619866284622958</v>
      </c>
      <c r="J5">
        <f t="shared" si="3"/>
        <v>3.4038586437440301</v>
      </c>
      <c r="K5" s="27">
        <f t="shared" si="4"/>
        <v>12.539217495933716</v>
      </c>
      <c r="M5" s="34" t="s">
        <v>24</v>
      </c>
      <c r="N5" s="35" t="s">
        <v>2</v>
      </c>
      <c r="R5"/>
      <c r="S5"/>
      <c r="T5"/>
      <c r="U5" s="36"/>
      <c r="V5" s="36"/>
      <c r="W5" s="37"/>
      <c r="X5" s="38"/>
      <c r="Y5" s="39"/>
    </row>
    <row r="6" spans="1:25" ht="13" x14ac:dyDescent="0.3">
      <c r="A6" s="24">
        <v>1</v>
      </c>
      <c r="B6" s="25">
        <v>25</v>
      </c>
      <c r="C6" s="24">
        <v>5.7389999999999999</v>
      </c>
      <c r="D6" s="24">
        <v>5.7279999999999998</v>
      </c>
      <c r="E6" s="26">
        <f t="shared" si="1"/>
        <v>21.925501432664756</v>
      </c>
      <c r="F6" s="26">
        <f t="shared" si="1"/>
        <v>21.883476599808979</v>
      </c>
      <c r="G6" s="26">
        <f t="shared" si="0"/>
        <v>19.627583572110794</v>
      </c>
      <c r="H6" s="26">
        <f t="shared" si="0"/>
        <v>23.904336198662847</v>
      </c>
      <c r="I6" s="26">
        <f t="shared" si="2"/>
        <v>2.2979178605539623</v>
      </c>
      <c r="J6">
        <f t="shared" si="3"/>
        <v>2.0208595988538676</v>
      </c>
      <c r="K6" s="27">
        <f t="shared" si="4"/>
        <v>9.3643000121327127</v>
      </c>
      <c r="M6" s="40">
        <f>1-EXP(-POWER(N6/$N$3,2)/2)</f>
        <v>6.7716310677618852E-2</v>
      </c>
      <c r="N6" s="41">
        <v>1</v>
      </c>
      <c r="R6" s="42"/>
      <c r="S6" s="55" t="s">
        <v>31</v>
      </c>
      <c r="T6" s="56">
        <f>AVERAGE(T9:T33)</f>
        <v>913.8</v>
      </c>
      <c r="Y6" s="43"/>
    </row>
    <row r="7" spans="1:25" ht="13" x14ac:dyDescent="0.3">
      <c r="A7" s="24">
        <v>1</v>
      </c>
      <c r="B7" s="25">
        <v>25</v>
      </c>
      <c r="C7" s="24">
        <v>5.8819999999999997</v>
      </c>
      <c r="D7" s="24">
        <v>5.851</v>
      </c>
      <c r="E7" s="26">
        <f t="shared" si="1"/>
        <v>22.471824259789877</v>
      </c>
      <c r="F7" s="26">
        <f t="shared" si="1"/>
        <v>22.353390639923592</v>
      </c>
      <c r="G7" s="26">
        <f t="shared" si="0"/>
        <v>19.627583572110794</v>
      </c>
      <c r="H7" s="26">
        <f t="shared" si="0"/>
        <v>23.904336198662847</v>
      </c>
      <c r="I7" s="26">
        <f t="shared" si="2"/>
        <v>2.8442406876790827</v>
      </c>
      <c r="J7">
        <f t="shared" si="3"/>
        <v>1.5509455587392544</v>
      </c>
      <c r="K7" s="27">
        <f t="shared" si="4"/>
        <v>10.495137215622199</v>
      </c>
      <c r="M7" s="40">
        <f t="shared" ref="M7:M8" si="5">1-EXP(-POWER(N7/$N$3,2)/2)</f>
        <v>0.18342896850639978</v>
      </c>
      <c r="N7" s="41">
        <v>1.7</v>
      </c>
      <c r="R7" s="42"/>
      <c r="S7" s="55" t="s">
        <v>32</v>
      </c>
      <c r="T7" s="57">
        <f>STDEV(T9:T33)</f>
        <v>16.235249715767644</v>
      </c>
      <c r="U7" s="44"/>
      <c r="V7" s="44"/>
      <c r="W7" s="44"/>
      <c r="X7" s="44"/>
      <c r="Y7" s="45"/>
    </row>
    <row r="8" spans="1:25" ht="13" x14ac:dyDescent="0.3">
      <c r="A8" s="24">
        <v>1</v>
      </c>
      <c r="B8" s="25">
        <v>25</v>
      </c>
      <c r="C8" s="24">
        <v>5.2160000000000002</v>
      </c>
      <c r="D8" s="24">
        <v>5.69</v>
      </c>
      <c r="E8" s="26">
        <f t="shared" si="1"/>
        <v>19.92741165234002</v>
      </c>
      <c r="F8" s="26">
        <f t="shared" si="1"/>
        <v>21.738299904489018</v>
      </c>
      <c r="G8" s="26">
        <f t="shared" si="0"/>
        <v>19.627583572110794</v>
      </c>
      <c r="H8" s="26">
        <f t="shared" si="0"/>
        <v>23.904336198662847</v>
      </c>
      <c r="I8" s="26">
        <f t="shared" si="2"/>
        <v>0.29982808022922569</v>
      </c>
      <c r="J8">
        <f t="shared" si="3"/>
        <v>2.1660362941738285</v>
      </c>
      <c r="K8" s="27">
        <f t="shared" si="4"/>
        <v>4.7816101053722351</v>
      </c>
      <c r="M8" s="40">
        <f t="shared" si="5"/>
        <v>0.46797409986065153</v>
      </c>
      <c r="N8" s="41">
        <v>3</v>
      </c>
      <c r="S8" s="53" t="s">
        <v>29</v>
      </c>
      <c r="T8" s="54" t="s">
        <v>30</v>
      </c>
    </row>
    <row r="9" spans="1:25" x14ac:dyDescent="0.25">
      <c r="A9" s="24">
        <v>1</v>
      </c>
      <c r="B9" s="25">
        <v>25</v>
      </c>
      <c r="C9" s="24">
        <v>5.3010000000000002</v>
      </c>
      <c r="D9" s="24">
        <v>5.8129999999999997</v>
      </c>
      <c r="E9" s="26">
        <f t="shared" si="1"/>
        <v>20.252148997134672</v>
      </c>
      <c r="F9" s="26">
        <f t="shared" si="1"/>
        <v>22.208213944603632</v>
      </c>
      <c r="G9" s="26">
        <f t="shared" si="0"/>
        <v>19.627583572110794</v>
      </c>
      <c r="H9" s="26">
        <f t="shared" si="0"/>
        <v>23.904336198662847</v>
      </c>
      <c r="I9" s="26">
        <f t="shared" si="2"/>
        <v>0.62456542502387791</v>
      </c>
      <c r="J9">
        <f t="shared" si="3"/>
        <v>1.6961222540592154</v>
      </c>
      <c r="K9" s="27">
        <f t="shared" si="4"/>
        <v>3.266912670850171</v>
      </c>
      <c r="M9" s="29" t="s">
        <v>25</v>
      </c>
      <c r="N9" s="47">
        <f>N3*SQRT(LN(4))</f>
        <v>3.1441089713469301</v>
      </c>
      <c r="S9">
        <v>30</v>
      </c>
      <c r="T9">
        <v>917</v>
      </c>
    </row>
    <row r="10" spans="1:25" x14ac:dyDescent="0.25">
      <c r="A10" s="24">
        <v>1</v>
      </c>
      <c r="B10" s="25">
        <v>25</v>
      </c>
      <c r="C10" s="24">
        <v>5.0250000000000004</v>
      </c>
      <c r="D10" s="24">
        <v>5.984</v>
      </c>
      <c r="E10" s="26">
        <f t="shared" si="1"/>
        <v>19.197707736389688</v>
      </c>
      <c r="F10" s="26">
        <f t="shared" si="1"/>
        <v>22.861509073543459</v>
      </c>
      <c r="G10" s="26">
        <f t="shared" si="0"/>
        <v>19.627583572110794</v>
      </c>
      <c r="H10" s="26">
        <f t="shared" si="0"/>
        <v>23.904336198662847</v>
      </c>
      <c r="I10" s="26">
        <f t="shared" si="2"/>
        <v>-0.42987583572110566</v>
      </c>
      <c r="J10">
        <f t="shared" si="3"/>
        <v>1.0428271251193877</v>
      </c>
      <c r="K10" s="27">
        <f t="shared" si="4"/>
        <v>1.272281647021686</v>
      </c>
      <c r="S10">
        <v>29</v>
      </c>
      <c r="T10">
        <v>908</v>
      </c>
    </row>
    <row r="11" spans="1:25" x14ac:dyDescent="0.25">
      <c r="A11" s="24">
        <v>1</v>
      </c>
      <c r="B11" s="25">
        <v>25</v>
      </c>
      <c r="C11" s="24">
        <v>5.6440000000000001</v>
      </c>
      <c r="D11" s="24">
        <v>6.2220000000000004</v>
      </c>
      <c r="E11" s="26">
        <f t="shared" si="1"/>
        <v>21.562559694364854</v>
      </c>
      <c r="F11" s="26">
        <f t="shared" si="1"/>
        <v>23.770773638968485</v>
      </c>
      <c r="G11" s="26">
        <f t="shared" si="0"/>
        <v>19.627583572110794</v>
      </c>
      <c r="H11" s="26">
        <f t="shared" si="0"/>
        <v>23.904336198662847</v>
      </c>
      <c r="I11" s="26">
        <f t="shared" si="2"/>
        <v>1.93497612225406</v>
      </c>
      <c r="J11">
        <f t="shared" si="3"/>
        <v>0.13356255969436148</v>
      </c>
      <c r="K11" s="27">
        <f t="shared" si="4"/>
        <v>3.7619715510454688</v>
      </c>
      <c r="S11">
        <v>28</v>
      </c>
      <c r="T11">
        <v>908</v>
      </c>
    </row>
    <row r="12" spans="1:25" x14ac:dyDescent="0.25">
      <c r="A12" s="24">
        <v>1</v>
      </c>
      <c r="B12" s="25">
        <v>25</v>
      </c>
      <c r="C12" s="48">
        <v>5.7009999999999996</v>
      </c>
      <c r="D12" s="48">
        <v>6.194</v>
      </c>
      <c r="E12" s="28">
        <f t="shared" si="1"/>
        <v>21.780324737344795</v>
      </c>
      <c r="F12" s="28">
        <f t="shared" si="1"/>
        <v>23.663801337153775</v>
      </c>
      <c r="G12" s="28">
        <f t="shared" si="0"/>
        <v>19.627583572110794</v>
      </c>
      <c r="H12" s="28">
        <f t="shared" si="0"/>
        <v>23.904336198662847</v>
      </c>
      <c r="I12" s="28">
        <f t="shared" si="2"/>
        <v>2.1527411652340014</v>
      </c>
      <c r="J12" s="28">
        <f t="shared" si="3"/>
        <v>0.24053486150907233</v>
      </c>
      <c r="K12" s="28">
        <f t="shared" si="4"/>
        <v>4.6921515440942345</v>
      </c>
      <c r="S12">
        <v>27</v>
      </c>
      <c r="T12">
        <v>909</v>
      </c>
    </row>
    <row r="13" spans="1:25" x14ac:dyDescent="0.25">
      <c r="A13" s="24">
        <v>1</v>
      </c>
      <c r="B13" s="25">
        <v>25</v>
      </c>
      <c r="C13" s="24">
        <v>5.72</v>
      </c>
      <c r="D13" s="24">
        <v>6.4889999999999999</v>
      </c>
      <c r="E13" s="28">
        <f t="shared" si="1"/>
        <v>21.852913085004776</v>
      </c>
      <c r="F13" s="28">
        <f t="shared" si="1"/>
        <v>24.790830945558742</v>
      </c>
      <c r="G13" s="28">
        <f t="shared" si="0"/>
        <v>19.627583572110794</v>
      </c>
      <c r="H13" s="28">
        <f t="shared" si="0"/>
        <v>23.904336198662847</v>
      </c>
      <c r="I13" s="28">
        <f t="shared" si="2"/>
        <v>2.2253295128939818</v>
      </c>
      <c r="J13" s="28">
        <f t="shared" si="3"/>
        <v>-0.88649474689589525</v>
      </c>
      <c r="K13" s="28">
        <f t="shared" si="4"/>
        <v>5.7379643772309841</v>
      </c>
      <c r="S13">
        <v>26</v>
      </c>
      <c r="T13">
        <v>926</v>
      </c>
    </row>
    <row r="14" spans="1:25" x14ac:dyDescent="0.25">
      <c r="A14" s="24">
        <v>1</v>
      </c>
      <c r="B14" s="25">
        <v>25</v>
      </c>
      <c r="C14" s="24">
        <v>5.4160000000000004</v>
      </c>
      <c r="D14" s="24">
        <v>6.5650000000000004</v>
      </c>
      <c r="E14" s="28">
        <f t="shared" si="1"/>
        <v>20.691499522445085</v>
      </c>
      <c r="F14" s="28">
        <f t="shared" si="1"/>
        <v>25.081184336198667</v>
      </c>
      <c r="G14" s="28">
        <f t="shared" si="0"/>
        <v>19.627583572110794</v>
      </c>
      <c r="H14" s="28">
        <f t="shared" si="0"/>
        <v>23.904336198662847</v>
      </c>
      <c r="I14" s="28">
        <f t="shared" si="2"/>
        <v>1.063915950334291</v>
      </c>
      <c r="J14" s="28">
        <f t="shared" si="3"/>
        <v>-1.1768481375358206</v>
      </c>
      <c r="K14" s="28">
        <f t="shared" si="4"/>
        <v>2.5168886881972474</v>
      </c>
      <c r="S14">
        <v>25</v>
      </c>
      <c r="T14">
        <v>963</v>
      </c>
    </row>
    <row r="15" spans="1:25" x14ac:dyDescent="0.25">
      <c r="A15" s="24">
        <v>1</v>
      </c>
      <c r="B15" s="25">
        <v>25</v>
      </c>
      <c r="C15" s="24">
        <v>5.3010000000000002</v>
      </c>
      <c r="D15" s="24">
        <v>6.5650000000000004</v>
      </c>
      <c r="E15" s="28">
        <f t="shared" si="1"/>
        <v>20.252148997134672</v>
      </c>
      <c r="F15" s="28">
        <f t="shared" si="1"/>
        <v>25.081184336198667</v>
      </c>
      <c r="G15" s="28">
        <f t="shared" si="0"/>
        <v>19.627583572110794</v>
      </c>
      <c r="H15" s="28">
        <f t="shared" si="0"/>
        <v>23.904336198662847</v>
      </c>
      <c r="I15" s="28">
        <f t="shared" si="2"/>
        <v>0.62456542502387791</v>
      </c>
      <c r="J15" s="28">
        <f t="shared" si="3"/>
        <v>-1.1768481375358206</v>
      </c>
      <c r="K15" s="28">
        <f t="shared" si="4"/>
        <v>1.7750535089567872</v>
      </c>
      <c r="S15">
        <v>24</v>
      </c>
      <c r="T15">
        <v>931</v>
      </c>
    </row>
    <row r="16" spans="1:25" x14ac:dyDescent="0.25">
      <c r="A16" s="24">
        <v>1</v>
      </c>
      <c r="B16" s="25">
        <v>25</v>
      </c>
      <c r="C16" s="24">
        <v>5.2249999999999996</v>
      </c>
      <c r="D16" s="24">
        <v>6.46</v>
      </c>
      <c r="E16" s="28">
        <f t="shared" si="1"/>
        <v>19.961795606494746</v>
      </c>
      <c r="F16" s="28">
        <f t="shared" si="1"/>
        <v>24.680038204393508</v>
      </c>
      <c r="G16" s="28">
        <f t="shared" si="0"/>
        <v>19.627583572110794</v>
      </c>
      <c r="H16" s="28">
        <f t="shared" si="0"/>
        <v>23.904336198662847</v>
      </c>
      <c r="I16" s="28">
        <f t="shared" si="2"/>
        <v>0.33421203438395253</v>
      </c>
      <c r="J16" s="28">
        <f t="shared" si="3"/>
        <v>-0.77570200573066117</v>
      </c>
      <c r="K16" s="28">
        <f t="shared" si="4"/>
        <v>0.71341128562163092</v>
      </c>
      <c r="S16">
        <v>23</v>
      </c>
      <c r="T16">
        <v>938</v>
      </c>
    </row>
    <row r="17" spans="1:20" x14ac:dyDescent="0.25">
      <c r="A17" s="24">
        <v>1</v>
      </c>
      <c r="B17" s="25">
        <v>25</v>
      </c>
      <c r="C17" s="24">
        <v>5.2629999999999999</v>
      </c>
      <c r="D17" s="24">
        <v>6.8220000000000001</v>
      </c>
      <c r="E17" s="28">
        <f t="shared" si="1"/>
        <v>20.106972301814711</v>
      </c>
      <c r="F17" s="28">
        <f t="shared" si="1"/>
        <v>26.063037249283671</v>
      </c>
      <c r="G17" s="28">
        <f t="shared" si="0"/>
        <v>19.627583572110794</v>
      </c>
      <c r="H17" s="28">
        <f t="shared" si="0"/>
        <v>23.904336198662847</v>
      </c>
      <c r="I17" s="28">
        <f t="shared" si="2"/>
        <v>0.47938872970391699</v>
      </c>
      <c r="J17" s="28">
        <f t="shared" si="3"/>
        <v>-2.1587010506208237</v>
      </c>
      <c r="K17" s="28">
        <f t="shared" si="4"/>
        <v>4.8898037801185836</v>
      </c>
      <c r="S17">
        <v>22</v>
      </c>
      <c r="T17">
        <v>913</v>
      </c>
    </row>
    <row r="18" spans="1:20" x14ac:dyDescent="0.25">
      <c r="A18" s="24">
        <v>1</v>
      </c>
      <c r="B18" s="25">
        <v>25</v>
      </c>
      <c r="C18" s="24">
        <v>5.5289999999999999</v>
      </c>
      <c r="D18" s="24">
        <v>6.9640000000000004</v>
      </c>
      <c r="E18" s="28">
        <f t="shared" si="1"/>
        <v>21.123209169054441</v>
      </c>
      <c r="F18" s="28">
        <f t="shared" si="1"/>
        <v>26.605539637058264</v>
      </c>
      <c r="G18" s="28">
        <f t="shared" si="0"/>
        <v>19.627583572110794</v>
      </c>
      <c r="H18" s="28">
        <f t="shared" si="0"/>
        <v>23.904336198662847</v>
      </c>
      <c r="I18" s="28">
        <f t="shared" si="2"/>
        <v>1.4956255969436469</v>
      </c>
      <c r="J18" s="28">
        <f t="shared" si="3"/>
        <v>-2.7012034383954173</v>
      </c>
      <c r="K18" s="28">
        <f t="shared" si="4"/>
        <v>9.5333959418322642</v>
      </c>
      <c r="S18">
        <v>21</v>
      </c>
      <c r="T18">
        <v>909</v>
      </c>
    </row>
    <row r="19" spans="1:20" x14ac:dyDescent="0.25">
      <c r="A19" s="24">
        <v>1</v>
      </c>
      <c r="B19" s="25">
        <v>25</v>
      </c>
      <c r="C19" s="24">
        <v>5.492</v>
      </c>
      <c r="D19" s="24">
        <v>7.1449999999999996</v>
      </c>
      <c r="E19" s="28">
        <f t="shared" si="1"/>
        <v>20.981852913085007</v>
      </c>
      <c r="F19" s="28">
        <f t="shared" si="1"/>
        <v>27.297039159503342</v>
      </c>
      <c r="G19" s="28">
        <f t="shared" si="0"/>
        <v>19.627583572110794</v>
      </c>
      <c r="H19" s="28">
        <f t="shared" si="0"/>
        <v>23.904336198662847</v>
      </c>
      <c r="I19" s="28">
        <f t="shared" si="2"/>
        <v>1.3542693409742128</v>
      </c>
      <c r="J19" s="28">
        <f t="shared" si="3"/>
        <v>-3.3927029608404951</v>
      </c>
      <c r="K19" s="28">
        <f t="shared" si="4"/>
        <v>13.344478828398589</v>
      </c>
      <c r="S19">
        <v>20</v>
      </c>
      <c r="T19">
        <v>895</v>
      </c>
    </row>
    <row r="20" spans="1:20" x14ac:dyDescent="0.25">
      <c r="A20" s="24">
        <v>1</v>
      </c>
      <c r="B20" s="25">
        <v>25</v>
      </c>
      <c r="C20" s="24">
        <v>4.7869999999999999</v>
      </c>
      <c r="D20" s="24">
        <v>7.1360000000000001</v>
      </c>
      <c r="E20" s="28">
        <f t="shared" si="1"/>
        <v>18.288443170964662</v>
      </c>
      <c r="F20" s="28">
        <f t="shared" si="1"/>
        <v>27.262655205348619</v>
      </c>
      <c r="G20" s="28">
        <f t="shared" si="0"/>
        <v>19.627583572110794</v>
      </c>
      <c r="H20" s="28">
        <f t="shared" si="0"/>
        <v>23.904336198662847</v>
      </c>
      <c r="I20" s="28">
        <f t="shared" si="2"/>
        <v>-1.3391404011461319</v>
      </c>
      <c r="J20" s="28">
        <f t="shared" si="3"/>
        <v>-3.3583190066857718</v>
      </c>
      <c r="K20" s="28">
        <f t="shared" si="4"/>
        <v>13.071603564648731</v>
      </c>
      <c r="S20">
        <v>19</v>
      </c>
      <c r="T20">
        <v>909</v>
      </c>
    </row>
    <row r="21" spans="1:20" x14ac:dyDescent="0.25">
      <c r="A21" s="24">
        <v>1</v>
      </c>
      <c r="B21" s="25">
        <v>25</v>
      </c>
      <c r="C21" s="24">
        <v>4.5590000000000002</v>
      </c>
      <c r="D21" s="24">
        <v>7.3360000000000003</v>
      </c>
      <c r="E21" s="28">
        <f t="shared" si="1"/>
        <v>17.417382999044893</v>
      </c>
      <c r="F21" s="28">
        <f t="shared" si="1"/>
        <v>28.02674307545368</v>
      </c>
      <c r="G21" s="28">
        <f t="shared" si="0"/>
        <v>19.627583572110794</v>
      </c>
      <c r="H21" s="28">
        <f t="shared" si="0"/>
        <v>23.904336198662847</v>
      </c>
      <c r="I21" s="28">
        <f t="shared" si="2"/>
        <v>-2.2102005730659009</v>
      </c>
      <c r="J21" s="28">
        <f t="shared" si="3"/>
        <v>-4.1224068767908335</v>
      </c>
      <c r="K21" s="28">
        <f t="shared" si="4"/>
        <v>21.87922503099319</v>
      </c>
      <c r="S21">
        <v>18</v>
      </c>
      <c r="T21">
        <v>903</v>
      </c>
    </row>
    <row r="22" spans="1:20" x14ac:dyDescent="0.25">
      <c r="A22" s="24">
        <v>1</v>
      </c>
      <c r="B22" s="25">
        <v>25</v>
      </c>
      <c r="C22" s="48">
        <v>4.0359999999999996</v>
      </c>
      <c r="D22" s="48">
        <v>7.43</v>
      </c>
      <c r="E22" s="28">
        <f t="shared" si="1"/>
        <v>15.419293218720153</v>
      </c>
      <c r="F22" s="28">
        <f t="shared" si="1"/>
        <v>28.385864374403056</v>
      </c>
      <c r="G22" s="28">
        <f t="shared" si="0"/>
        <v>19.627583572110794</v>
      </c>
      <c r="H22" s="28">
        <f t="shared" si="0"/>
        <v>23.904336198662847</v>
      </c>
      <c r="I22" s="28">
        <f t="shared" si="2"/>
        <v>-4.2082903533906411</v>
      </c>
      <c r="J22" s="28">
        <f t="shared" si="3"/>
        <v>-4.481528175740209</v>
      </c>
      <c r="K22" s="28">
        <f t="shared" si="4"/>
        <v>37.793802488394093</v>
      </c>
      <c r="S22">
        <v>17</v>
      </c>
      <c r="T22">
        <v>927</v>
      </c>
    </row>
    <row r="23" spans="1:20" x14ac:dyDescent="0.25">
      <c r="A23" s="24">
        <v>1</v>
      </c>
      <c r="B23" s="25">
        <v>25</v>
      </c>
      <c r="C23" s="24">
        <v>4.53</v>
      </c>
      <c r="D23" s="24">
        <v>6.1470000000000002</v>
      </c>
      <c r="E23" s="28">
        <f t="shared" ref="E23:E27" si="6">(C23)/(0.01047*$B23)</f>
        <v>17.306590257879659</v>
      </c>
      <c r="F23" s="28">
        <f t="shared" ref="F23:F27" si="7">(D23)/(0.01047*$B23)</f>
        <v>23.484240687679087</v>
      </c>
      <c r="G23" s="28">
        <f t="shared" ref="G23:G27" si="8">AVERAGEIF($A:$A,"="&amp;$A23,E:E)</f>
        <v>19.627583572110794</v>
      </c>
      <c r="H23" s="28">
        <f t="shared" ref="H23:H27" si="9">AVERAGEIF($A:$A,"="&amp;$A23,F:F)</f>
        <v>23.904336198662847</v>
      </c>
      <c r="I23" s="28">
        <f t="shared" ref="I23:I27" si="10">E23-G23</f>
        <v>-2.320993314231135</v>
      </c>
      <c r="J23" s="28">
        <f t="shared" ref="J23:J27" si="11">H23-F23</f>
        <v>0.42009551098376008</v>
      </c>
      <c r="K23" s="28">
        <f t="shared" ref="K23:K27" si="12">POWER(E23-G23,2)+POWER(F23-H23,2)</f>
        <v>5.5634902030543349</v>
      </c>
      <c r="S23">
        <v>16</v>
      </c>
      <c r="T23">
        <v>891</v>
      </c>
    </row>
    <row r="24" spans="1:20" x14ac:dyDescent="0.25">
      <c r="A24" s="24">
        <v>1</v>
      </c>
      <c r="B24" s="25">
        <v>25</v>
      </c>
      <c r="C24" s="24">
        <v>4.8440000000000003</v>
      </c>
      <c r="D24" s="24">
        <v>6.4029999999999996</v>
      </c>
      <c r="E24" s="28">
        <f t="shared" si="6"/>
        <v>18.506208213944607</v>
      </c>
      <c r="F24" s="28">
        <f t="shared" si="7"/>
        <v>24.462273161413563</v>
      </c>
      <c r="G24" s="28">
        <f t="shared" si="8"/>
        <v>19.627583572110794</v>
      </c>
      <c r="H24" s="28">
        <f t="shared" si="9"/>
        <v>23.904336198662847</v>
      </c>
      <c r="I24" s="28">
        <f t="shared" si="10"/>
        <v>-1.1213753581661869</v>
      </c>
      <c r="J24" s="28">
        <f t="shared" si="11"/>
        <v>-0.55793696275071625</v>
      </c>
      <c r="K24" s="28">
        <f t="shared" si="12"/>
        <v>1.5687763483058381</v>
      </c>
      <c r="S24">
        <v>15</v>
      </c>
      <c r="T24">
        <v>902</v>
      </c>
    </row>
    <row r="25" spans="1:20" x14ac:dyDescent="0.25">
      <c r="A25" s="24">
        <v>1</v>
      </c>
      <c r="B25" s="25">
        <v>25</v>
      </c>
      <c r="C25" s="24">
        <v>4.625</v>
      </c>
      <c r="D25" s="24">
        <v>6.3170000000000002</v>
      </c>
      <c r="E25" s="28">
        <f t="shared" si="6"/>
        <v>17.669531996179561</v>
      </c>
      <c r="F25" s="28">
        <f t="shared" si="7"/>
        <v>24.133715377268388</v>
      </c>
      <c r="G25" s="28">
        <f t="shared" si="8"/>
        <v>19.627583572110794</v>
      </c>
      <c r="H25" s="28">
        <f t="shared" si="9"/>
        <v>23.904336198662847</v>
      </c>
      <c r="I25" s="28">
        <f t="shared" si="10"/>
        <v>-1.9580515759312327</v>
      </c>
      <c r="J25" s="28">
        <f t="shared" si="11"/>
        <v>-0.2293791786055408</v>
      </c>
      <c r="K25" s="28">
        <f t="shared" si="12"/>
        <v>3.8865807815845361</v>
      </c>
      <c r="S25">
        <v>14</v>
      </c>
      <c r="T25">
        <v>906</v>
      </c>
    </row>
    <row r="26" spans="1:20" x14ac:dyDescent="0.25">
      <c r="A26" s="24">
        <v>1</v>
      </c>
      <c r="B26" s="25">
        <v>25</v>
      </c>
      <c r="C26" s="24">
        <v>4.5780000000000003</v>
      </c>
      <c r="D26" s="24">
        <v>6.1840000000000002</v>
      </c>
      <c r="E26" s="28">
        <f t="shared" si="6"/>
        <v>17.489971346704873</v>
      </c>
      <c r="F26" s="28">
        <f t="shared" si="7"/>
        <v>23.625596943648521</v>
      </c>
      <c r="G26" s="28">
        <f t="shared" si="8"/>
        <v>19.627583572110794</v>
      </c>
      <c r="H26" s="28">
        <f t="shared" si="9"/>
        <v>23.904336198662847</v>
      </c>
      <c r="I26" s="28">
        <f t="shared" si="10"/>
        <v>-2.1376122254059204</v>
      </c>
      <c r="J26" s="28">
        <f t="shared" si="11"/>
        <v>0.27873925501432595</v>
      </c>
      <c r="K26" s="28">
        <f t="shared" si="12"/>
        <v>4.6470815984907929</v>
      </c>
      <c r="S26">
        <v>13</v>
      </c>
      <c r="T26">
        <v>910</v>
      </c>
    </row>
    <row r="27" spans="1:20" x14ac:dyDescent="0.25">
      <c r="A27" s="24">
        <v>1</v>
      </c>
      <c r="B27" s="25">
        <v>25</v>
      </c>
      <c r="C27" s="24">
        <v>5.6920000000000002</v>
      </c>
      <c r="D27" s="24">
        <v>5.69</v>
      </c>
      <c r="E27" s="28">
        <f t="shared" si="6"/>
        <v>21.745940783190068</v>
      </c>
      <c r="F27" s="28">
        <f t="shared" si="7"/>
        <v>21.738299904489018</v>
      </c>
      <c r="G27" s="28">
        <f t="shared" si="8"/>
        <v>19.627583572110794</v>
      </c>
      <c r="H27" s="28">
        <f t="shared" si="9"/>
        <v>23.904336198662847</v>
      </c>
      <c r="I27" s="28">
        <f t="shared" si="10"/>
        <v>2.1183572110792745</v>
      </c>
      <c r="J27" s="28">
        <f t="shared" si="11"/>
        <v>2.1660362941738285</v>
      </c>
      <c r="K27" s="28">
        <f t="shared" si="12"/>
        <v>9.179150501409854</v>
      </c>
      <c r="S27">
        <v>12</v>
      </c>
      <c r="T27">
        <v>895</v>
      </c>
    </row>
    <row r="28" spans="1:20" x14ac:dyDescent="0.25">
      <c r="A28" s="24"/>
      <c r="B28" s="25"/>
      <c r="C28" s="24"/>
      <c r="D28" s="24"/>
      <c r="F28" s="26"/>
      <c r="G28" s="26"/>
      <c r="H28" s="26"/>
      <c r="I28" s="26"/>
      <c r="K28" s="27"/>
      <c r="S28">
        <v>11</v>
      </c>
      <c r="T28">
        <v>912</v>
      </c>
    </row>
    <row r="29" spans="1:20" x14ac:dyDescent="0.25">
      <c r="A29" s="24"/>
      <c r="B29" s="25"/>
      <c r="C29" s="24"/>
      <c r="D29" s="24"/>
      <c r="F29" s="26"/>
      <c r="G29" s="26"/>
      <c r="H29" s="26"/>
      <c r="I29" s="26"/>
      <c r="K29" s="27"/>
      <c r="S29">
        <v>10</v>
      </c>
      <c r="T29">
        <v>893</v>
      </c>
    </row>
    <row r="30" spans="1:20" x14ac:dyDescent="0.25">
      <c r="A30" s="24"/>
      <c r="B30" s="25"/>
      <c r="C30" s="24"/>
      <c r="D30" s="24"/>
      <c r="F30" s="26"/>
      <c r="G30" s="26"/>
      <c r="H30" s="26"/>
      <c r="I30" s="26"/>
      <c r="K30" s="27"/>
      <c r="S30">
        <v>9</v>
      </c>
      <c r="T30">
        <v>904</v>
      </c>
    </row>
    <row r="31" spans="1:20" x14ac:dyDescent="0.25">
      <c r="A31" s="24"/>
      <c r="B31" s="25"/>
      <c r="C31" s="24"/>
      <c r="D31" s="24"/>
      <c r="F31" s="26"/>
      <c r="G31" s="26"/>
      <c r="H31" s="26"/>
      <c r="I31" s="26"/>
      <c r="K31" s="27"/>
      <c r="S31">
        <v>8</v>
      </c>
      <c r="T31">
        <v>927</v>
      </c>
    </row>
    <row r="32" spans="1:20" x14ac:dyDescent="0.25">
      <c r="A32" s="24"/>
      <c r="B32" s="25"/>
      <c r="C32" s="24"/>
      <c r="D32" s="24"/>
      <c r="F32" s="26"/>
      <c r="G32" s="26"/>
      <c r="H32" s="26"/>
      <c r="I32" s="26"/>
      <c r="K32" s="27"/>
      <c r="S32">
        <v>7</v>
      </c>
      <c r="T32">
        <v>919</v>
      </c>
    </row>
    <row r="33" spans="19:20" x14ac:dyDescent="0.25">
      <c r="S33">
        <v>6</v>
      </c>
      <c r="T33">
        <v>930</v>
      </c>
    </row>
  </sheetData>
  <mergeCells count="2">
    <mergeCell ref="C1:D1"/>
    <mergeCell ref="E1:K1"/>
  </mergeCell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RowHeight="12.5" x14ac:dyDescent="0.25"/>
  <cols>
    <col min="1" max="1" width="6.26953125" bestFit="1" customWidth="1"/>
    <col min="2" max="2" width="8.26953125" style="50" bestFit="1" customWidth="1"/>
    <col min="5" max="5" width="8.7265625" style="26"/>
    <col min="11" max="11" width="8.7265625" style="50"/>
    <col min="12" max="12" width="8.7265625" style="28"/>
    <col min="13" max="13" width="18.36328125" bestFit="1" customWidth="1"/>
    <col min="16" max="16" width="11.08984375" customWidth="1"/>
    <col min="17" max="17" width="10.90625" customWidth="1"/>
    <col min="18" max="18" width="11.54296875" style="46" customWidth="1"/>
    <col min="19" max="20" width="8.7265625" style="46" customWidth="1"/>
    <col min="21" max="22" width="8.7265625" style="21"/>
  </cols>
  <sheetData>
    <row r="1" spans="1:25" ht="13.5" thickBot="1" x14ac:dyDescent="0.35">
      <c r="B1" s="58" t="s">
        <v>0</v>
      </c>
      <c r="C1" s="60" t="s">
        <v>1</v>
      </c>
      <c r="D1" s="61"/>
      <c r="E1" s="62" t="s">
        <v>2</v>
      </c>
      <c r="F1" s="63"/>
      <c r="G1" s="63"/>
      <c r="H1" s="63"/>
      <c r="I1" s="63"/>
      <c r="J1" s="63"/>
      <c r="K1" s="63"/>
      <c r="L1" s="59"/>
      <c r="M1" s="3" t="s">
        <v>3</v>
      </c>
      <c r="N1" s="4">
        <f>ROUND(10*N3,0)</f>
        <v>11</v>
      </c>
      <c r="P1" s="51" t="s">
        <v>4</v>
      </c>
      <c r="Q1" s="5" t="s">
        <v>5</v>
      </c>
      <c r="R1" s="6" t="s">
        <v>6</v>
      </c>
      <c r="S1" t="s">
        <v>7</v>
      </c>
      <c r="T1" t="s">
        <v>8</v>
      </c>
      <c r="U1" s="7" t="s">
        <v>9</v>
      </c>
      <c r="V1" s="7" t="s">
        <v>10</v>
      </c>
      <c r="W1" s="8" t="s">
        <v>11</v>
      </c>
      <c r="X1" s="9" t="s">
        <v>12</v>
      </c>
      <c r="Y1" s="10">
        <v>0.8</v>
      </c>
    </row>
    <row r="2" spans="1:25" ht="13" x14ac:dyDescent="0.3">
      <c r="A2" s="11" t="s">
        <v>4</v>
      </c>
      <c r="B2" s="12" t="s">
        <v>13</v>
      </c>
      <c r="C2" s="11" t="s">
        <v>14</v>
      </c>
      <c r="D2" s="11" t="s">
        <v>15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19</v>
      </c>
      <c r="K2" s="14" t="s">
        <v>20</v>
      </c>
      <c r="L2" s="15"/>
      <c r="M2" s="16" t="s">
        <v>21</v>
      </c>
      <c r="N2" s="17">
        <f>SQRT(GETPIVOTDATA("Sum Radius^2",$P$1)/CHIINV(0.5,2*GETPIVOTDATA("Count of Group",$P$1)-2*COUNT(P:P)))</f>
        <v>0.98130176757984988</v>
      </c>
      <c r="P2">
        <v>1</v>
      </c>
      <c r="Q2" s="18">
        <v>20.335172216247084</v>
      </c>
      <c r="R2" s="19">
        <v>10</v>
      </c>
      <c r="S2" s="20">
        <v>0.99504826236513255</v>
      </c>
      <c r="T2" s="20">
        <v>1.1266510263374103</v>
      </c>
      <c r="U2" s="21">
        <f>2*R2-1</f>
        <v>19</v>
      </c>
      <c r="V2" s="21">
        <f>1/EXP(LN(SQRT(2/(U2-1))) + GAMMALN(U2/2) - GAMMALN((U2-1)/2))</f>
        <v>1.0139785697898209</v>
      </c>
      <c r="W2" s="22">
        <f>V2*SQRT(Q2/(2*(R2-1)))</f>
        <v>1.0777460782508028</v>
      </c>
      <c r="X2" s="23">
        <f>SQRT(Q2/CHIINV((1-Y$1)/2,2*R2-2))</f>
        <v>0.88455656041127151</v>
      </c>
      <c r="Y2" s="23">
        <f>SQRT(Q2/CHIINV(0.5+Y$1/2,2*R2-2))</f>
        <v>1.3680763611137601</v>
      </c>
    </row>
    <row r="3" spans="1:25" ht="13" x14ac:dyDescent="0.3">
      <c r="A3" s="24">
        <v>1</v>
      </c>
      <c r="B3" s="25">
        <v>50</v>
      </c>
      <c r="C3" s="24">
        <v>5.7210000000000001</v>
      </c>
      <c r="D3" s="24">
        <v>1.823</v>
      </c>
      <c r="E3" s="26">
        <f>(C3)/(0.01047*$B3)</f>
        <v>10.928366762177651</v>
      </c>
      <c r="F3" s="26">
        <f>(D3)/(0.01047*$B3)</f>
        <v>3.4823304680038207</v>
      </c>
      <c r="G3" s="26">
        <f t="shared" ref="G3:H32" si="0">AVERAGEIF($A:$A,"="&amp;$A3,E:E)</f>
        <v>10.939255014326648</v>
      </c>
      <c r="H3" s="26">
        <f t="shared" si="0"/>
        <v>5.6481375358166188</v>
      </c>
      <c r="I3" s="26">
        <f>E3-G3</f>
        <v>-1.0888252148996358E-2</v>
      </c>
      <c r="J3">
        <f>H3-F3</f>
        <v>2.1658070678127981</v>
      </c>
      <c r="K3" s="27">
        <f>POWER(E3-G3,2)+POWER(F3-H3,2)</f>
        <v>4.69083880902273</v>
      </c>
      <c r="M3" s="29" t="s">
        <v>22</v>
      </c>
      <c r="N3" s="30">
        <f>SQRT(GETPIVOTDATA("Sum Radius^2",$P$1)/CHIINV(0.9,2*GETPIVOTDATA("Count of Group",$P$1)-2*COUNT(P:P)))</f>
        <v>1.1167315570934946</v>
      </c>
      <c r="P3">
        <v>2</v>
      </c>
      <c r="Q3" s="18">
        <v>18.616714878275946</v>
      </c>
      <c r="R3" s="19">
        <v>10</v>
      </c>
      <c r="S3" s="20">
        <v>0.84483854834277017</v>
      </c>
      <c r="T3" s="20">
        <v>1.1639466064206188</v>
      </c>
      <c r="U3" s="21">
        <f>2*R3-1</f>
        <v>19</v>
      </c>
      <c r="V3" s="21">
        <f>1/EXP(LN(SQRT(2/(U3-1))) + GAMMALN(U3/2) - GAMMALN((U3-1)/2))</f>
        <v>1.0139785697898209</v>
      </c>
      <c r="W3" s="22">
        <f>V3*SQRT(Q3/(2*(R3-1)))</f>
        <v>1.0312027144290488</v>
      </c>
      <c r="X3" s="23">
        <f>SQRT(Q3/CHIINV((1-Y$1)/2,2*R3-2))</f>
        <v>0.84635624714364077</v>
      </c>
      <c r="Y3" s="23">
        <f>SQRT(Q3/CHIINV(0.5+Y$1/2,2*R3-2))</f>
        <v>1.3089948417315653</v>
      </c>
    </row>
    <row r="4" spans="1:25" ht="13" x14ac:dyDescent="0.3">
      <c r="A4" s="24">
        <v>1</v>
      </c>
      <c r="B4" s="25">
        <v>50</v>
      </c>
      <c r="C4" s="24">
        <v>5.851</v>
      </c>
      <c r="D4" s="24">
        <v>2.508</v>
      </c>
      <c r="E4" s="26">
        <f t="shared" ref="E4:F32" si="1">(C4)/(0.01047*$B4)</f>
        <v>11.176695319961796</v>
      </c>
      <c r="F4" s="26">
        <f t="shared" si="1"/>
        <v>4.7908309455587395</v>
      </c>
      <c r="G4" s="26">
        <f t="shared" si="0"/>
        <v>10.939255014326648</v>
      </c>
      <c r="H4" s="26">
        <f t="shared" si="0"/>
        <v>5.6481375358166188</v>
      </c>
      <c r="I4" s="26">
        <f t="shared" ref="I4:I32" si="2">E4-G4</f>
        <v>0.23744030563514862</v>
      </c>
      <c r="J4">
        <f t="shared" ref="J4:J32" si="3">H4-F4</f>
        <v>0.85730659025787936</v>
      </c>
      <c r="K4" s="27">
        <f t="shared" ref="K4:K32" si="4">POWER(E4-G4,2)+POWER(F4-H4,2)</f>
        <v>0.79135248843970429</v>
      </c>
      <c r="P4">
        <v>3</v>
      </c>
      <c r="Q4" s="18">
        <v>12.407042817564909</v>
      </c>
      <c r="R4" s="19">
        <v>10</v>
      </c>
      <c r="S4" s="20">
        <v>0.67420442049296281</v>
      </c>
      <c r="T4" s="20">
        <v>0.96125371908280077</v>
      </c>
      <c r="U4" s="36">
        <f>2*R4+1-2*COUNT(P:P)</f>
        <v>15</v>
      </c>
      <c r="V4" s="21">
        <f>1/EXP(LN(SQRT(2/(U4-1))) + GAMMALN(U4/2) - GAMMALN((U4-1)/2))</f>
        <v>1.0180021700227186</v>
      </c>
      <c r="W4" s="37">
        <f>V4*SQRT(Q4/(2*(R4-COUNT(P:P))))</f>
        <v>0.95833825885176538</v>
      </c>
      <c r="X4" s="38">
        <f>SQRT(Q4/CHIINV((1-Y$1)/2,2*R4-2*COUNT(P:P)))</f>
        <v>0.76747145374703951</v>
      </c>
      <c r="Y4" s="39">
        <f>SQRT(Q4/CHIINV(0.5+Y$1/2,2*R4-2*COUNT(P:P)))</f>
        <v>1.2620553806688761</v>
      </c>
    </row>
    <row r="5" spans="1:25" ht="13" x14ac:dyDescent="0.3">
      <c r="A5" s="24">
        <v>1</v>
      </c>
      <c r="B5" s="25">
        <v>50</v>
      </c>
      <c r="C5" s="24">
        <v>4.9400000000000004</v>
      </c>
      <c r="D5" s="24">
        <v>2.847</v>
      </c>
      <c r="E5" s="26">
        <f t="shared" si="1"/>
        <v>9.436485195797518</v>
      </c>
      <c r="F5" s="26">
        <f t="shared" si="1"/>
        <v>5.4383954154727796</v>
      </c>
      <c r="G5" s="26">
        <f t="shared" si="0"/>
        <v>10.939255014326648</v>
      </c>
      <c r="H5" s="26">
        <f t="shared" si="0"/>
        <v>5.6481375358166188</v>
      </c>
      <c r="I5" s="26">
        <f t="shared" si="2"/>
        <v>-1.5027698185291296</v>
      </c>
      <c r="J5">
        <f t="shared" si="3"/>
        <v>0.20974212034383921</v>
      </c>
      <c r="K5" s="27">
        <f t="shared" si="4"/>
        <v>2.302308884528403</v>
      </c>
      <c r="M5" s="34" t="s">
        <v>24</v>
      </c>
      <c r="N5" s="35" t="s">
        <v>2</v>
      </c>
      <c r="P5" s="31" t="s">
        <v>23</v>
      </c>
      <c r="Q5" s="32">
        <v>51.358929912087937</v>
      </c>
      <c r="R5" s="33">
        <v>30</v>
      </c>
      <c r="S5" s="20">
        <v>0.81844729698514396</v>
      </c>
      <c r="T5" s="20">
        <v>1.0493529459782145</v>
      </c>
      <c r="U5" s="36"/>
      <c r="V5" s="36"/>
      <c r="W5" s="37"/>
      <c r="X5" s="38"/>
      <c r="Y5" s="39"/>
    </row>
    <row r="6" spans="1:25" ht="13" x14ac:dyDescent="0.3">
      <c r="A6" s="24">
        <v>1</v>
      </c>
      <c r="B6" s="25">
        <v>50</v>
      </c>
      <c r="C6" s="24">
        <v>5.2690000000000001</v>
      </c>
      <c r="D6" s="24">
        <v>2.673</v>
      </c>
      <c r="E6" s="26">
        <f t="shared" si="1"/>
        <v>10.06494746895893</v>
      </c>
      <c r="F6" s="26">
        <f t="shared" si="1"/>
        <v>5.1060171919770774</v>
      </c>
      <c r="G6" s="26">
        <f t="shared" si="0"/>
        <v>10.939255014326648</v>
      </c>
      <c r="H6" s="26">
        <f t="shared" si="0"/>
        <v>5.6481375358166188</v>
      </c>
      <c r="I6" s="26">
        <f t="shared" si="2"/>
        <v>-0.87430754536771715</v>
      </c>
      <c r="J6">
        <f t="shared" si="3"/>
        <v>0.54212034383954144</v>
      </c>
      <c r="K6" s="27">
        <f t="shared" si="4"/>
        <v>1.0583081510916255</v>
      </c>
      <c r="M6" s="40">
        <f>1-EXP(-POWER(N6/$N$3,2)/2)</f>
        <v>0.33030545613911855</v>
      </c>
      <c r="N6" s="41">
        <v>1</v>
      </c>
      <c r="R6" s="42"/>
      <c r="Y6" s="43"/>
    </row>
    <row r="7" spans="1:25" ht="13" x14ac:dyDescent="0.3">
      <c r="A7" s="24">
        <v>1</v>
      </c>
      <c r="B7" s="25">
        <v>50</v>
      </c>
      <c r="C7" s="24">
        <v>5.4429999999999996</v>
      </c>
      <c r="D7" s="24">
        <v>2.8639999999999999</v>
      </c>
      <c r="E7" s="26">
        <f t="shared" si="1"/>
        <v>10.397325692454633</v>
      </c>
      <c r="F7" s="26">
        <f t="shared" si="1"/>
        <v>5.4708691499522448</v>
      </c>
      <c r="G7" s="26">
        <f t="shared" si="0"/>
        <v>10.939255014326648</v>
      </c>
      <c r="H7" s="26">
        <f t="shared" si="0"/>
        <v>5.6481375358166188</v>
      </c>
      <c r="I7" s="26">
        <f t="shared" si="2"/>
        <v>-0.54192932187201492</v>
      </c>
      <c r="J7">
        <f t="shared" si="3"/>
        <v>0.17726838586437399</v>
      </c>
      <c r="K7" s="27">
        <f t="shared" si="4"/>
        <v>0.32511147053162259</v>
      </c>
      <c r="M7" s="40">
        <f t="shared" ref="M7:M8" si="5">1-EXP(-POWER(N7/$N$3,2)/2)</f>
        <v>0.68610540446553925</v>
      </c>
      <c r="N7" s="41">
        <v>1.7</v>
      </c>
      <c r="R7" s="42"/>
      <c r="U7" s="44"/>
      <c r="V7" s="44"/>
      <c r="W7" s="44"/>
      <c r="X7" s="44"/>
      <c r="Y7" s="45"/>
    </row>
    <row r="8" spans="1:25" ht="13" x14ac:dyDescent="0.3">
      <c r="A8" s="24">
        <v>1</v>
      </c>
      <c r="B8" s="25">
        <v>50</v>
      </c>
      <c r="C8" s="24">
        <v>5.5640000000000001</v>
      </c>
      <c r="D8" s="24">
        <v>2.8639999999999999</v>
      </c>
      <c r="E8" s="26">
        <f t="shared" si="1"/>
        <v>10.628462273161414</v>
      </c>
      <c r="F8" s="26">
        <f t="shared" si="1"/>
        <v>5.4708691499522448</v>
      </c>
      <c r="G8" s="26">
        <f t="shared" si="0"/>
        <v>10.939255014326648</v>
      </c>
      <c r="H8" s="26">
        <f t="shared" si="0"/>
        <v>5.6481375358166188</v>
      </c>
      <c r="I8" s="26">
        <f t="shared" si="2"/>
        <v>-0.31079274116523337</v>
      </c>
      <c r="J8">
        <f t="shared" si="3"/>
        <v>0.17726838586437399</v>
      </c>
      <c r="K8" s="27">
        <f t="shared" si="4"/>
        <v>0.12801620858796031</v>
      </c>
      <c r="M8" s="40">
        <f t="shared" si="5"/>
        <v>0.9729048945239066</v>
      </c>
      <c r="N8" s="41">
        <v>3</v>
      </c>
      <c r="S8" s="55" t="s">
        <v>31</v>
      </c>
      <c r="T8" s="56">
        <f>AVERAGE(T11:T50)</f>
        <v>882.83333333333337</v>
      </c>
    </row>
    <row r="9" spans="1:25" x14ac:dyDescent="0.25">
      <c r="A9" s="24">
        <v>1</v>
      </c>
      <c r="B9" s="25">
        <v>50</v>
      </c>
      <c r="C9" s="24">
        <v>6.8140000000000001</v>
      </c>
      <c r="D9" s="24">
        <v>3.0550000000000002</v>
      </c>
      <c r="E9" s="26">
        <f t="shared" si="1"/>
        <v>13.016236867239733</v>
      </c>
      <c r="F9" s="26">
        <f t="shared" si="1"/>
        <v>5.8357211079274123</v>
      </c>
      <c r="G9" s="26">
        <f t="shared" si="0"/>
        <v>10.939255014326648</v>
      </c>
      <c r="H9" s="26">
        <f t="shared" si="0"/>
        <v>5.6481375358166188</v>
      </c>
      <c r="I9" s="26">
        <f t="shared" si="2"/>
        <v>2.0769818529130859</v>
      </c>
      <c r="J9">
        <f t="shared" si="3"/>
        <v>-0.18758357211079346</v>
      </c>
      <c r="K9" s="27">
        <f t="shared" si="4"/>
        <v>4.349041213856121</v>
      </c>
      <c r="M9" s="29" t="s">
        <v>25</v>
      </c>
      <c r="N9" s="47">
        <f>N3*SQRT(LN(4))</f>
        <v>1.3148509277811926</v>
      </c>
      <c r="S9" s="55" t="s">
        <v>32</v>
      </c>
      <c r="T9" s="57">
        <f>STDEV(T11:T50)</f>
        <v>15.015126472611069</v>
      </c>
    </row>
    <row r="10" spans="1:25" ht="13" x14ac:dyDescent="0.3">
      <c r="A10" s="24">
        <v>1</v>
      </c>
      <c r="B10" s="25">
        <v>50</v>
      </c>
      <c r="C10" s="24">
        <v>5.5119999999999996</v>
      </c>
      <c r="D10" s="24">
        <v>3.3849999999999998</v>
      </c>
      <c r="E10" s="26">
        <f t="shared" si="1"/>
        <v>10.529130850047755</v>
      </c>
      <c r="F10" s="26">
        <f t="shared" si="1"/>
        <v>6.4660936007640881</v>
      </c>
      <c r="G10" s="26">
        <f t="shared" si="0"/>
        <v>10.939255014326648</v>
      </c>
      <c r="H10" s="26">
        <f t="shared" si="0"/>
        <v>5.6481375358166188</v>
      </c>
      <c r="I10" s="26">
        <f t="shared" si="2"/>
        <v>-0.41012416427889242</v>
      </c>
      <c r="J10">
        <f t="shared" si="3"/>
        <v>-0.81795606494746931</v>
      </c>
      <c r="K10" s="27">
        <f t="shared" si="4"/>
        <v>0.83725395430980865</v>
      </c>
      <c r="S10" s="53" t="s">
        <v>29</v>
      </c>
      <c r="T10" s="54" t="s">
        <v>30</v>
      </c>
    </row>
    <row r="11" spans="1:25" x14ac:dyDescent="0.25">
      <c r="A11" s="24">
        <v>1</v>
      </c>
      <c r="B11" s="25">
        <v>50</v>
      </c>
      <c r="C11" s="24">
        <v>5.9809999999999999</v>
      </c>
      <c r="D11" s="24">
        <v>3.8180000000000001</v>
      </c>
      <c r="E11" s="26">
        <f t="shared" si="1"/>
        <v>11.425023877745941</v>
      </c>
      <c r="F11" s="26">
        <f t="shared" si="1"/>
        <v>7.2932187201528178</v>
      </c>
      <c r="G11" s="26">
        <f t="shared" si="0"/>
        <v>10.939255014326648</v>
      </c>
      <c r="H11" s="26">
        <f t="shared" si="0"/>
        <v>5.6481375358166188</v>
      </c>
      <c r="I11" s="26">
        <f t="shared" si="2"/>
        <v>0.4857688634192936</v>
      </c>
      <c r="J11">
        <f t="shared" si="3"/>
        <v>-1.645081184336199</v>
      </c>
      <c r="K11" s="27">
        <f t="shared" si="4"/>
        <v>2.9422634917246637</v>
      </c>
      <c r="S11">
        <v>85</v>
      </c>
      <c r="T11">
        <v>884</v>
      </c>
    </row>
    <row r="12" spans="1:25" x14ac:dyDescent="0.25">
      <c r="A12" s="24">
        <v>1</v>
      </c>
      <c r="B12" s="25">
        <v>50</v>
      </c>
      <c r="C12" s="48">
        <v>6.1719999999999997</v>
      </c>
      <c r="D12" s="48">
        <v>3.7309999999999999</v>
      </c>
      <c r="E12" s="49">
        <f t="shared" si="1"/>
        <v>11.789875835721109</v>
      </c>
      <c r="F12" s="49">
        <f t="shared" si="1"/>
        <v>7.1270296084049667</v>
      </c>
      <c r="G12" s="49">
        <f t="shared" si="0"/>
        <v>10.939255014326648</v>
      </c>
      <c r="H12" s="49">
        <f t="shared" si="0"/>
        <v>5.6481375358166188</v>
      </c>
      <c r="I12" s="49">
        <f t="shared" si="2"/>
        <v>0.85062082139446105</v>
      </c>
      <c r="J12">
        <f t="shared" si="3"/>
        <v>-1.4788920725883479</v>
      </c>
      <c r="K12" s="49">
        <f t="shared" si="4"/>
        <v>2.910677544154447</v>
      </c>
      <c r="S12">
        <v>84</v>
      </c>
      <c r="T12">
        <v>878</v>
      </c>
    </row>
    <row r="13" spans="1:25" x14ac:dyDescent="0.25">
      <c r="A13" s="24">
        <v>2</v>
      </c>
      <c r="B13" s="25">
        <v>50</v>
      </c>
      <c r="C13" s="24">
        <v>1.7450000000000001</v>
      </c>
      <c r="D13" s="24">
        <v>4.9119999999999999</v>
      </c>
      <c r="E13" s="26">
        <f t="shared" si="1"/>
        <v>3.3333333333333339</v>
      </c>
      <c r="F13" s="26">
        <f t="shared" si="1"/>
        <v>9.3829990448901626</v>
      </c>
      <c r="G13" s="26">
        <f t="shared" si="0"/>
        <v>4.1212989493791783</v>
      </c>
      <c r="H13" s="26">
        <f t="shared" si="0"/>
        <v>11.412225405921683</v>
      </c>
      <c r="I13" s="26">
        <f t="shared" si="2"/>
        <v>-0.78796561604584436</v>
      </c>
      <c r="J13">
        <f t="shared" si="3"/>
        <v>2.0292263610315207</v>
      </c>
      <c r="K13" s="27">
        <f t="shared" si="4"/>
        <v>4.7386494363757343</v>
      </c>
      <c r="S13">
        <v>83</v>
      </c>
      <c r="T13">
        <v>895</v>
      </c>
    </row>
    <row r="14" spans="1:25" x14ac:dyDescent="0.25">
      <c r="A14" s="24">
        <v>2</v>
      </c>
      <c r="B14" s="25">
        <v>50</v>
      </c>
      <c r="C14" s="24">
        <v>1.875</v>
      </c>
      <c r="D14" s="24">
        <v>5.3460000000000001</v>
      </c>
      <c r="E14" s="26">
        <f t="shared" si="1"/>
        <v>3.5816618911174789</v>
      </c>
      <c r="F14" s="26">
        <f t="shared" si="1"/>
        <v>10.212034383954155</v>
      </c>
      <c r="G14" s="26">
        <f t="shared" si="0"/>
        <v>4.1212989493791783</v>
      </c>
      <c r="H14" s="26">
        <f t="shared" si="0"/>
        <v>11.412225405921683</v>
      </c>
      <c r="I14" s="26">
        <f t="shared" si="2"/>
        <v>-0.53963705826169939</v>
      </c>
      <c r="J14">
        <f t="shared" si="3"/>
        <v>1.2001910219675285</v>
      </c>
      <c r="K14" s="27">
        <f t="shared" si="4"/>
        <v>1.7316666438608013</v>
      </c>
      <c r="S14">
        <v>82</v>
      </c>
      <c r="T14">
        <v>855</v>
      </c>
    </row>
    <row r="15" spans="1:25" x14ac:dyDescent="0.25">
      <c r="A15" s="24">
        <v>2</v>
      </c>
      <c r="B15" s="25">
        <v>50</v>
      </c>
      <c r="C15" s="24">
        <v>2.1960000000000002</v>
      </c>
      <c r="D15" s="24">
        <v>5.4240000000000004</v>
      </c>
      <c r="E15" s="26">
        <f t="shared" si="1"/>
        <v>4.1948424068767913</v>
      </c>
      <c r="F15" s="26">
        <f t="shared" si="1"/>
        <v>10.361031518624642</v>
      </c>
      <c r="G15" s="26">
        <f t="shared" si="0"/>
        <v>4.1212989493791783</v>
      </c>
      <c r="H15" s="26">
        <f t="shared" si="0"/>
        <v>11.412225405921683</v>
      </c>
      <c r="I15" s="26">
        <f t="shared" si="2"/>
        <v>7.3543457497613041E-2</v>
      </c>
      <c r="J15">
        <f t="shared" si="3"/>
        <v>1.0511938872970408</v>
      </c>
      <c r="K15" s="27">
        <f t="shared" si="4"/>
        <v>1.110417228831367</v>
      </c>
      <c r="S15">
        <v>81</v>
      </c>
      <c r="T15">
        <v>890</v>
      </c>
    </row>
    <row r="16" spans="1:25" x14ac:dyDescent="0.25">
      <c r="A16" s="24">
        <v>2</v>
      </c>
      <c r="B16" s="25">
        <v>50</v>
      </c>
      <c r="C16" s="24">
        <v>2.6309999999999998</v>
      </c>
      <c r="D16" s="24">
        <v>5.85</v>
      </c>
      <c r="E16" s="26">
        <f t="shared" si="1"/>
        <v>5.025787965616046</v>
      </c>
      <c r="F16" s="26">
        <f t="shared" si="1"/>
        <v>11.174785100286533</v>
      </c>
      <c r="G16" s="26">
        <f t="shared" si="0"/>
        <v>4.1212989493791783</v>
      </c>
      <c r="H16" s="26">
        <f t="shared" si="0"/>
        <v>11.412225405921683</v>
      </c>
      <c r="I16" s="26">
        <f t="shared" si="2"/>
        <v>0.90448901623686773</v>
      </c>
      <c r="J16">
        <f t="shared" si="3"/>
        <v>0.23744030563515039</v>
      </c>
      <c r="K16" s="27">
        <f t="shared" si="4"/>
        <v>0.8744782792332505</v>
      </c>
      <c r="S16">
        <v>80</v>
      </c>
      <c r="T16">
        <v>886</v>
      </c>
    </row>
    <row r="17" spans="1:20" x14ac:dyDescent="0.25">
      <c r="A17" s="24">
        <v>2</v>
      </c>
      <c r="B17" s="25">
        <v>50</v>
      </c>
      <c r="C17" s="24">
        <v>2.6480000000000001</v>
      </c>
      <c r="D17" s="24">
        <v>6.04</v>
      </c>
      <c r="E17" s="26">
        <f t="shared" si="1"/>
        <v>5.0582617000955112</v>
      </c>
      <c r="F17" s="26">
        <f t="shared" si="1"/>
        <v>11.537726838586439</v>
      </c>
      <c r="G17" s="26">
        <f t="shared" si="0"/>
        <v>4.1212989493791783</v>
      </c>
      <c r="H17" s="26">
        <f t="shared" si="0"/>
        <v>11.412225405921683</v>
      </c>
      <c r="I17" s="26">
        <f t="shared" si="2"/>
        <v>0.93696275071633295</v>
      </c>
      <c r="J17">
        <f t="shared" si="3"/>
        <v>-0.12550143266475544</v>
      </c>
      <c r="K17" s="27">
        <f t="shared" si="4"/>
        <v>0.89364980583082321</v>
      </c>
      <c r="S17">
        <v>79</v>
      </c>
      <c r="T17">
        <v>859</v>
      </c>
    </row>
    <row r="18" spans="1:20" x14ac:dyDescent="0.25">
      <c r="A18" s="24">
        <v>2</v>
      </c>
      <c r="B18" s="25">
        <v>50</v>
      </c>
      <c r="C18" s="24">
        <v>2.3090000000000002</v>
      </c>
      <c r="D18" s="24">
        <v>6.3440000000000003</v>
      </c>
      <c r="E18" s="26">
        <f t="shared" si="1"/>
        <v>4.4106972301814711</v>
      </c>
      <c r="F18" s="26">
        <f t="shared" si="1"/>
        <v>12.118433619866286</v>
      </c>
      <c r="G18" s="26">
        <f t="shared" si="0"/>
        <v>4.1212989493791783</v>
      </c>
      <c r="H18" s="26">
        <f t="shared" si="0"/>
        <v>11.412225405921683</v>
      </c>
      <c r="I18" s="26">
        <f t="shared" si="2"/>
        <v>0.2893982808022928</v>
      </c>
      <c r="J18">
        <f t="shared" si="3"/>
        <v>-0.70620821394460265</v>
      </c>
      <c r="K18" s="27">
        <f t="shared" si="4"/>
        <v>0.58248140637414836</v>
      </c>
      <c r="S18">
        <v>78</v>
      </c>
      <c r="T18">
        <v>867</v>
      </c>
    </row>
    <row r="19" spans="1:20" x14ac:dyDescent="0.25">
      <c r="A19" s="24">
        <v>2</v>
      </c>
      <c r="B19" s="25">
        <v>50</v>
      </c>
      <c r="C19" s="24">
        <v>2.2400000000000002</v>
      </c>
      <c r="D19" s="24">
        <v>6.1879999999999997</v>
      </c>
      <c r="E19" s="26">
        <f t="shared" si="1"/>
        <v>4.2788920725883486</v>
      </c>
      <c r="F19" s="26">
        <f t="shared" si="1"/>
        <v>11.82043935052531</v>
      </c>
      <c r="G19" s="26">
        <f t="shared" si="0"/>
        <v>4.1212989493791783</v>
      </c>
      <c r="H19" s="26">
        <f t="shared" si="0"/>
        <v>11.412225405921683</v>
      </c>
      <c r="I19" s="26">
        <f t="shared" si="2"/>
        <v>0.15759312320917029</v>
      </c>
      <c r="J19">
        <f t="shared" si="3"/>
        <v>-0.40821394460362725</v>
      </c>
      <c r="K19" s="27">
        <f t="shared" si="4"/>
        <v>0.19147421705167397</v>
      </c>
      <c r="S19">
        <v>77</v>
      </c>
      <c r="T19">
        <v>883</v>
      </c>
    </row>
    <row r="20" spans="1:20" x14ac:dyDescent="0.25">
      <c r="A20" s="24">
        <v>2</v>
      </c>
      <c r="B20" s="25">
        <v>50</v>
      </c>
      <c r="C20" s="24">
        <v>1.9710000000000001</v>
      </c>
      <c r="D20" s="24">
        <v>6.37</v>
      </c>
      <c r="E20" s="26">
        <f t="shared" si="1"/>
        <v>3.7650429799426939</v>
      </c>
      <c r="F20" s="26">
        <f t="shared" si="1"/>
        <v>12.168099331423115</v>
      </c>
      <c r="G20" s="26">
        <f t="shared" si="0"/>
        <v>4.1212989493791783</v>
      </c>
      <c r="H20" s="26">
        <f t="shared" si="0"/>
        <v>11.412225405921683</v>
      </c>
      <c r="I20" s="26">
        <f t="shared" si="2"/>
        <v>-0.35625596943648441</v>
      </c>
      <c r="J20">
        <f t="shared" si="3"/>
        <v>-0.75587392550143129</v>
      </c>
      <c r="K20" s="27">
        <f t="shared" si="4"/>
        <v>0.69826370701207252</v>
      </c>
      <c r="S20">
        <v>76</v>
      </c>
      <c r="T20">
        <v>872</v>
      </c>
    </row>
    <row r="21" spans="1:20" x14ac:dyDescent="0.25">
      <c r="A21" s="24">
        <v>2</v>
      </c>
      <c r="B21" s="25">
        <v>50</v>
      </c>
      <c r="C21" s="24">
        <v>1.3029999999999999</v>
      </c>
      <c r="D21" s="24">
        <v>6.2569999999999997</v>
      </c>
      <c r="E21" s="26">
        <f t="shared" si="1"/>
        <v>2.4890162368672399</v>
      </c>
      <c r="F21" s="26">
        <f t="shared" si="1"/>
        <v>11.952244508118433</v>
      </c>
      <c r="G21" s="26">
        <f t="shared" si="0"/>
        <v>4.1212989493791783</v>
      </c>
      <c r="H21" s="26">
        <f t="shared" si="0"/>
        <v>11.412225405921683</v>
      </c>
      <c r="I21" s="26">
        <f t="shared" si="2"/>
        <v>-1.6322827125119383</v>
      </c>
      <c r="J21">
        <f t="shared" si="3"/>
        <v>-0.54001910219674976</v>
      </c>
      <c r="K21" s="27">
        <f t="shared" si="4"/>
        <v>2.9559674843027146</v>
      </c>
      <c r="S21">
        <v>75</v>
      </c>
      <c r="T21">
        <v>905</v>
      </c>
    </row>
    <row r="22" spans="1:20" x14ac:dyDescent="0.25">
      <c r="A22" s="24">
        <v>2</v>
      </c>
      <c r="B22" s="25">
        <v>50</v>
      </c>
      <c r="C22" s="48">
        <v>2.657</v>
      </c>
      <c r="D22" s="48">
        <v>7.0119999999999996</v>
      </c>
      <c r="E22" s="26">
        <f t="shared" si="1"/>
        <v>5.0754536771728755</v>
      </c>
      <c r="F22" s="26">
        <f t="shared" si="1"/>
        <v>13.394460362941738</v>
      </c>
      <c r="G22" s="26">
        <f t="shared" si="0"/>
        <v>4.1212989493791783</v>
      </c>
      <c r="H22" s="26">
        <f t="shared" si="0"/>
        <v>11.412225405921683</v>
      </c>
      <c r="I22" s="26">
        <f t="shared" si="2"/>
        <v>0.95415472779369725</v>
      </c>
      <c r="J22">
        <f t="shared" si="3"/>
        <v>-1.9822349570200544</v>
      </c>
      <c r="K22" s="27">
        <f t="shared" si="4"/>
        <v>4.8396666694033614</v>
      </c>
      <c r="S22">
        <v>74</v>
      </c>
      <c r="T22">
        <v>873</v>
      </c>
    </row>
    <row r="23" spans="1:20" x14ac:dyDescent="0.25">
      <c r="A23" s="24">
        <v>3</v>
      </c>
      <c r="B23" s="25">
        <v>50</v>
      </c>
      <c r="C23" s="24">
        <v>6.7270000000000003</v>
      </c>
      <c r="D23" s="24">
        <v>6.6740000000000004</v>
      </c>
      <c r="E23" s="26">
        <f t="shared" si="1"/>
        <v>12.850047755491882</v>
      </c>
      <c r="F23" s="26">
        <f t="shared" si="1"/>
        <v>12.748806112702962</v>
      </c>
      <c r="G23" s="26">
        <f t="shared" si="0"/>
        <v>11.352435530085959</v>
      </c>
      <c r="H23" s="26">
        <f t="shared" si="0"/>
        <v>13.707736389684815</v>
      </c>
      <c r="I23" s="26">
        <f t="shared" si="2"/>
        <v>1.4976122254059234</v>
      </c>
      <c r="J23">
        <f t="shared" si="3"/>
        <v>0.95893027698185307</v>
      </c>
      <c r="K23" s="27">
        <f t="shared" si="4"/>
        <v>3.162389653797776</v>
      </c>
      <c r="S23">
        <v>73</v>
      </c>
      <c r="T23">
        <v>887</v>
      </c>
    </row>
    <row r="24" spans="1:20" x14ac:dyDescent="0.25">
      <c r="A24" s="24">
        <v>3</v>
      </c>
      <c r="B24" s="25">
        <v>50</v>
      </c>
      <c r="C24" s="24">
        <v>5.4349999999999996</v>
      </c>
      <c r="D24" s="24">
        <v>6.6210000000000004</v>
      </c>
      <c r="E24" s="26">
        <f t="shared" si="1"/>
        <v>10.382043935052531</v>
      </c>
      <c r="F24" s="26">
        <f t="shared" si="1"/>
        <v>12.647564469914041</v>
      </c>
      <c r="G24" s="26">
        <f t="shared" si="0"/>
        <v>11.352435530085959</v>
      </c>
      <c r="H24" s="26">
        <f t="shared" si="0"/>
        <v>13.707736389684815</v>
      </c>
      <c r="I24" s="26">
        <f t="shared" si="2"/>
        <v>-0.97039159503342809</v>
      </c>
      <c r="J24">
        <f t="shared" si="3"/>
        <v>1.0601719197707737</v>
      </c>
      <c r="K24" s="27">
        <f t="shared" si="4"/>
        <v>2.0656243471819686</v>
      </c>
      <c r="S24">
        <v>72</v>
      </c>
      <c r="T24">
        <v>881</v>
      </c>
    </row>
    <row r="25" spans="1:20" x14ac:dyDescent="0.25">
      <c r="A25" s="24">
        <v>3</v>
      </c>
      <c r="B25" s="25">
        <v>50</v>
      </c>
      <c r="C25" s="24">
        <v>5.843</v>
      </c>
      <c r="D25" s="24">
        <v>6.8029999999999999</v>
      </c>
      <c r="E25" s="26">
        <f t="shared" si="1"/>
        <v>11.161413562559694</v>
      </c>
      <c r="F25" s="26">
        <f t="shared" si="1"/>
        <v>12.995224450811843</v>
      </c>
      <c r="G25" s="26">
        <f t="shared" si="0"/>
        <v>11.352435530085959</v>
      </c>
      <c r="H25" s="26">
        <f t="shared" si="0"/>
        <v>13.707736389684815</v>
      </c>
      <c r="I25" s="26">
        <f t="shared" si="2"/>
        <v>-0.19102196752626455</v>
      </c>
      <c r="J25">
        <f t="shared" si="3"/>
        <v>0.71251193887297148</v>
      </c>
      <c r="K25" s="27">
        <f t="shared" si="4"/>
        <v>0.54416265511412631</v>
      </c>
      <c r="S25">
        <v>71</v>
      </c>
      <c r="T25">
        <v>880</v>
      </c>
    </row>
    <row r="26" spans="1:20" x14ac:dyDescent="0.25">
      <c r="A26" s="24">
        <v>3</v>
      </c>
      <c r="B26" s="25">
        <v>50</v>
      </c>
      <c r="C26" s="24">
        <v>5.9290000000000003</v>
      </c>
      <c r="D26" s="24">
        <v>6.8650000000000002</v>
      </c>
      <c r="E26" s="26">
        <f t="shared" si="1"/>
        <v>11.325692454632284</v>
      </c>
      <c r="F26" s="26">
        <f t="shared" si="1"/>
        <v>13.113658070678129</v>
      </c>
      <c r="G26" s="26">
        <f t="shared" si="0"/>
        <v>11.352435530085959</v>
      </c>
      <c r="H26" s="26">
        <f t="shared" si="0"/>
        <v>13.707736389684815</v>
      </c>
      <c r="I26" s="26">
        <f t="shared" si="2"/>
        <v>-2.6743075453675047E-2</v>
      </c>
      <c r="J26">
        <f t="shared" si="3"/>
        <v>0.59407831900668562</v>
      </c>
      <c r="K26" s="27">
        <f t="shared" si="4"/>
        <v>0.35364424119853033</v>
      </c>
      <c r="S26">
        <v>70</v>
      </c>
      <c r="T26">
        <v>896</v>
      </c>
    </row>
    <row r="27" spans="1:20" x14ac:dyDescent="0.25">
      <c r="A27" s="24">
        <v>3</v>
      </c>
      <c r="B27" s="25">
        <v>50</v>
      </c>
      <c r="C27" s="24">
        <v>5.6859999999999999</v>
      </c>
      <c r="D27" s="24">
        <v>7.0209999999999999</v>
      </c>
      <c r="E27" s="26">
        <f t="shared" si="1"/>
        <v>10.861509073543457</v>
      </c>
      <c r="F27" s="26">
        <f t="shared" si="1"/>
        <v>13.411652340019103</v>
      </c>
      <c r="G27" s="26">
        <f t="shared" si="0"/>
        <v>11.352435530085959</v>
      </c>
      <c r="H27" s="26">
        <f t="shared" si="0"/>
        <v>13.707736389684815</v>
      </c>
      <c r="I27" s="26">
        <f t="shared" si="2"/>
        <v>-0.49092645654250155</v>
      </c>
      <c r="J27">
        <f t="shared" si="3"/>
        <v>0.296084049665712</v>
      </c>
      <c r="K27" s="27">
        <f t="shared" si="4"/>
        <v>0.3286745501998245</v>
      </c>
      <c r="S27">
        <v>69</v>
      </c>
      <c r="T27">
        <v>875</v>
      </c>
    </row>
    <row r="28" spans="1:20" x14ac:dyDescent="0.25">
      <c r="A28" s="24">
        <v>3</v>
      </c>
      <c r="B28" s="25">
        <v>50</v>
      </c>
      <c r="C28" s="24">
        <v>5.9029999999999996</v>
      </c>
      <c r="D28" s="24">
        <v>7.0990000000000002</v>
      </c>
      <c r="E28" s="26">
        <f t="shared" si="1"/>
        <v>11.276026743075453</v>
      </c>
      <c r="F28" s="26">
        <f t="shared" si="1"/>
        <v>13.56064947468959</v>
      </c>
      <c r="G28" s="26">
        <f t="shared" si="0"/>
        <v>11.352435530085959</v>
      </c>
      <c r="H28" s="26">
        <f t="shared" si="0"/>
        <v>13.707736389684815</v>
      </c>
      <c r="I28" s="26">
        <f t="shared" si="2"/>
        <v>-7.6408787010505463E-2</v>
      </c>
      <c r="J28">
        <f t="shared" si="3"/>
        <v>0.1470869149952243</v>
      </c>
      <c r="K28" s="27">
        <f t="shared" si="4"/>
        <v>2.7472863295229126E-2</v>
      </c>
      <c r="S28">
        <v>68</v>
      </c>
      <c r="T28">
        <v>897</v>
      </c>
    </row>
    <row r="29" spans="1:20" x14ac:dyDescent="0.25">
      <c r="A29" s="24">
        <v>3</v>
      </c>
      <c r="B29" s="25">
        <v>50</v>
      </c>
      <c r="C29" s="24">
        <v>6.077</v>
      </c>
      <c r="D29" s="24">
        <v>7.4370000000000003</v>
      </c>
      <c r="E29" s="26">
        <f t="shared" si="1"/>
        <v>11.608404966571156</v>
      </c>
      <c r="F29" s="26">
        <f t="shared" si="1"/>
        <v>14.206303724928368</v>
      </c>
      <c r="G29" s="26">
        <f t="shared" si="0"/>
        <v>11.352435530085959</v>
      </c>
      <c r="H29" s="26">
        <f t="shared" si="0"/>
        <v>13.707736389684815</v>
      </c>
      <c r="I29" s="26">
        <f t="shared" si="2"/>
        <v>0.25596943648519677</v>
      </c>
      <c r="J29">
        <f t="shared" si="3"/>
        <v>-0.49856733524355334</v>
      </c>
      <c r="K29" s="27">
        <f t="shared" si="4"/>
        <v>0.3140897401864069</v>
      </c>
      <c r="S29">
        <v>67</v>
      </c>
      <c r="T29">
        <v>882</v>
      </c>
    </row>
    <row r="30" spans="1:20" x14ac:dyDescent="0.25">
      <c r="A30" s="24">
        <v>3</v>
      </c>
      <c r="B30" s="25">
        <v>50</v>
      </c>
      <c r="C30" s="24">
        <v>6.085</v>
      </c>
      <c r="D30" s="24">
        <v>7.6020000000000003</v>
      </c>
      <c r="E30" s="26">
        <f t="shared" si="1"/>
        <v>11.623686723973258</v>
      </c>
      <c r="F30" s="26">
        <f t="shared" si="1"/>
        <v>14.521489971346707</v>
      </c>
      <c r="G30" s="26">
        <f t="shared" si="0"/>
        <v>11.352435530085959</v>
      </c>
      <c r="H30" s="26">
        <f t="shared" si="0"/>
        <v>13.707736389684815</v>
      </c>
      <c r="I30" s="26">
        <f t="shared" si="2"/>
        <v>0.27125119388729857</v>
      </c>
      <c r="J30">
        <f t="shared" si="3"/>
        <v>-0.81375358166189216</v>
      </c>
      <c r="K30" s="27">
        <f t="shared" si="4"/>
        <v>0.73577210185284259</v>
      </c>
      <c r="S30">
        <v>66</v>
      </c>
      <c r="T30">
        <v>872</v>
      </c>
    </row>
    <row r="31" spans="1:20" x14ac:dyDescent="0.25">
      <c r="A31" s="24">
        <v>3</v>
      </c>
      <c r="B31" s="25">
        <v>50</v>
      </c>
      <c r="C31" s="24">
        <v>5.625</v>
      </c>
      <c r="D31" s="24">
        <v>7.3849999999999998</v>
      </c>
      <c r="E31" s="26">
        <f t="shared" si="1"/>
        <v>10.744985673352437</v>
      </c>
      <c r="F31" s="26">
        <f t="shared" si="1"/>
        <v>14.106972301814709</v>
      </c>
      <c r="G31" s="26">
        <f t="shared" si="0"/>
        <v>11.352435530085959</v>
      </c>
      <c r="H31" s="26">
        <f t="shared" si="0"/>
        <v>13.707736389684815</v>
      </c>
      <c r="I31" s="26">
        <f t="shared" si="2"/>
        <v>-0.60744985673352225</v>
      </c>
      <c r="J31">
        <f t="shared" si="3"/>
        <v>-0.39923591212989429</v>
      </c>
      <c r="K31" s="27">
        <f t="shared" si="4"/>
        <v>0.52838464197976531</v>
      </c>
      <c r="S31">
        <v>65</v>
      </c>
      <c r="T31">
        <v>884</v>
      </c>
    </row>
    <row r="32" spans="1:20" x14ac:dyDescent="0.25">
      <c r="A32" s="24">
        <v>3</v>
      </c>
      <c r="B32" s="25">
        <v>50</v>
      </c>
      <c r="C32" s="24">
        <v>6.12</v>
      </c>
      <c r="D32" s="24">
        <v>8.2530000000000001</v>
      </c>
      <c r="E32" s="26">
        <f t="shared" si="1"/>
        <v>11.690544412607451</v>
      </c>
      <c r="F32" s="26">
        <f t="shared" si="1"/>
        <v>15.765042979942695</v>
      </c>
      <c r="G32" s="26">
        <f t="shared" si="0"/>
        <v>11.352435530085959</v>
      </c>
      <c r="H32" s="26">
        <f t="shared" si="0"/>
        <v>13.707736389684815</v>
      </c>
      <c r="I32" s="26">
        <f t="shared" si="2"/>
        <v>0.3381088825214924</v>
      </c>
      <c r="J32">
        <f t="shared" si="3"/>
        <v>-2.0573065902578804</v>
      </c>
      <c r="K32" s="27">
        <f t="shared" si="4"/>
        <v>4.346828022758439</v>
      </c>
      <c r="S32">
        <v>64</v>
      </c>
      <c r="T32">
        <v>902</v>
      </c>
    </row>
    <row r="33" spans="1:20" x14ac:dyDescent="0.25">
      <c r="A33" s="24"/>
      <c r="B33" s="25"/>
      <c r="F33" s="26"/>
      <c r="G33" s="26"/>
      <c r="H33" s="26"/>
      <c r="I33" s="26"/>
      <c r="K33" s="27"/>
      <c r="S33">
        <v>63</v>
      </c>
      <c r="T33">
        <v>894</v>
      </c>
    </row>
    <row r="34" spans="1:20" x14ac:dyDescent="0.25">
      <c r="A34" s="24"/>
      <c r="B34" s="25"/>
      <c r="F34" s="26"/>
      <c r="G34" s="26"/>
      <c r="H34" s="26"/>
      <c r="I34" s="26"/>
      <c r="K34" s="27"/>
      <c r="S34">
        <v>62</v>
      </c>
      <c r="T34">
        <v>864</v>
      </c>
    </row>
    <row r="35" spans="1:20" x14ac:dyDescent="0.25">
      <c r="A35" s="24"/>
      <c r="B35" s="25"/>
      <c r="F35" s="26"/>
      <c r="G35" s="26"/>
      <c r="H35" s="26"/>
      <c r="I35" s="26"/>
      <c r="K35" s="27"/>
      <c r="S35">
        <v>61</v>
      </c>
      <c r="T35">
        <v>922</v>
      </c>
    </row>
    <row r="36" spans="1:20" x14ac:dyDescent="0.25">
      <c r="A36" s="24"/>
      <c r="B36" s="25"/>
      <c r="F36" s="26"/>
      <c r="G36" s="26"/>
      <c r="H36" s="26"/>
      <c r="I36" s="26"/>
      <c r="K36" s="27"/>
      <c r="S36">
        <v>60</v>
      </c>
      <c r="T36">
        <v>877</v>
      </c>
    </row>
    <row r="37" spans="1:20" x14ac:dyDescent="0.25">
      <c r="A37" s="24"/>
      <c r="B37" s="25"/>
      <c r="F37" s="26"/>
      <c r="G37" s="26"/>
      <c r="H37" s="26"/>
      <c r="I37" s="26"/>
      <c r="K37" s="27"/>
      <c r="S37">
        <v>59</v>
      </c>
      <c r="T37">
        <v>903</v>
      </c>
    </row>
    <row r="38" spans="1:20" x14ac:dyDescent="0.25">
      <c r="A38" s="24"/>
      <c r="B38" s="25"/>
      <c r="F38" s="26"/>
      <c r="G38" s="26"/>
      <c r="H38" s="26"/>
      <c r="I38" s="26"/>
      <c r="K38" s="27"/>
      <c r="S38">
        <v>58</v>
      </c>
      <c r="T38">
        <v>873</v>
      </c>
    </row>
    <row r="39" spans="1:20" x14ac:dyDescent="0.25">
      <c r="A39" s="24"/>
      <c r="B39" s="25"/>
      <c r="F39" s="26"/>
      <c r="G39" s="26"/>
      <c r="H39" s="26"/>
      <c r="I39" s="26"/>
      <c r="K39" s="27"/>
      <c r="S39">
        <v>57</v>
      </c>
      <c r="T39">
        <v>888</v>
      </c>
    </row>
    <row r="40" spans="1:20" x14ac:dyDescent="0.25">
      <c r="A40" s="24"/>
      <c r="B40" s="25"/>
      <c r="F40" s="26"/>
      <c r="G40" s="26"/>
      <c r="H40" s="26"/>
      <c r="I40" s="26"/>
      <c r="K40" s="27"/>
      <c r="S40">
        <v>56</v>
      </c>
      <c r="T40">
        <v>861</v>
      </c>
    </row>
    <row r="41" spans="1:20" x14ac:dyDescent="0.25">
      <c r="A41" s="24"/>
      <c r="B41" s="25"/>
      <c r="F41" s="26"/>
      <c r="G41" s="26"/>
      <c r="H41" s="26"/>
      <c r="I41" s="26"/>
      <c r="K41" s="27"/>
      <c r="S41"/>
      <c r="T41"/>
    </row>
    <row r="42" spans="1:20" x14ac:dyDescent="0.25">
      <c r="A42" s="24"/>
      <c r="B42" s="25"/>
      <c r="F42" s="26"/>
      <c r="G42" s="26"/>
      <c r="H42" s="26"/>
      <c r="I42" s="26"/>
      <c r="K42" s="27"/>
      <c r="S42"/>
      <c r="T42"/>
    </row>
    <row r="43" spans="1:20" x14ac:dyDescent="0.25">
      <c r="S43"/>
      <c r="T43"/>
    </row>
    <row r="44" spans="1:20" x14ac:dyDescent="0.25">
      <c r="S44"/>
      <c r="T44"/>
    </row>
    <row r="45" spans="1:20" x14ac:dyDescent="0.25">
      <c r="S45"/>
      <c r="T45"/>
    </row>
    <row r="46" spans="1:20" x14ac:dyDescent="0.25">
      <c r="S46"/>
      <c r="T46"/>
    </row>
    <row r="47" spans="1:20" x14ac:dyDescent="0.25">
      <c r="S47"/>
      <c r="T47"/>
    </row>
    <row r="48" spans="1:20" x14ac:dyDescent="0.25">
      <c r="S48"/>
      <c r="T48"/>
    </row>
    <row r="49" spans="19:20" x14ac:dyDescent="0.25">
      <c r="S49"/>
      <c r="T49"/>
    </row>
    <row r="50" spans="19:20" x14ac:dyDescent="0.25">
      <c r="S50"/>
      <c r="T50"/>
    </row>
  </sheetData>
  <mergeCells count="2">
    <mergeCell ref="C1:D1"/>
    <mergeCell ref="E1:K1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Gemtech25yd</vt:lpstr>
      <vt:lpstr>SK+25yd</vt:lpstr>
      <vt:lpstr>SK+50yd</vt:lpstr>
      <vt:lpstr>Eley25yd</vt:lpstr>
      <vt:lpstr>Eley50yd</vt:lpstr>
      <vt:lpstr>Eley25v50</vt:lpstr>
      <vt:lpstr>Champion25yd</vt:lpstr>
      <vt:lpstr>CCISV25yd</vt:lpstr>
      <vt:lpstr>CCISVunsup</vt:lpstr>
      <vt:lpstr>EleyClubUnsup</vt:lpstr>
      <vt:lpstr>GemtechUnsup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2017-09-04T22:27:29Z</dcterms:created>
  <dcterms:modified xsi:type="dcterms:W3CDTF">2017-09-20T17:28:07Z</dcterms:modified>
</cp:coreProperties>
</file>